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5900" windowHeight="5425"/>
  </bookViews>
  <sheets>
    <sheet name="Loop1" sheetId="1" r:id="rId1"/>
    <sheet name="Limits" sheetId="2" r:id="rId2"/>
    <sheet name="Notes 4.x.x" sheetId="3" r:id="rId3"/>
    <sheet name="Interop" sheetId="4" r:id="rId4"/>
  </sheets>
  <externalReferences>
    <externalReference r:id="rId5"/>
  </externalReferences>
  <definedNames>
    <definedName name="ALT">Limits!$D$2</definedName>
    <definedName name="BT">Limits!$N$2</definedName>
    <definedName name="BT_type">Limits!$N$2</definedName>
    <definedName name="Date">Loop1!$A$2</definedName>
    <definedName name="HighPwrGrant">Limits!$H$2</definedName>
    <definedName name="Index">Loop1!$U$132</definedName>
    <definedName name="Loop_Count">Loop1!$B$4</definedName>
    <definedName name="Maximum">Loop1!$E$9:$E$133</definedName>
    <definedName name="Min_AT_Version">Loop1!$A$138</definedName>
    <definedName name="MinFwVer">Limits!$L$2</definedName>
    <definedName name="Minimum">Loop1!$D$9:$D$133</definedName>
    <definedName name="MinReqdFwVer">Loop1!$A$142</definedName>
    <definedName name="Parm_Count">Loop1!$U$134</definedName>
    <definedName name="PD_Pwr">Limits!$F$2</definedName>
    <definedName name="Port_Count">Loop1!$B$3</definedName>
    <definedName name="_xlnm.Print_Area" localSheetId="3">Interop!$A$1:$L$50</definedName>
    <definedName name="_xlnm.Print_Area" localSheetId="2">'Notes 4.x.x'!$A$1:$F$148</definedName>
    <definedName name="_xlnm.Print_Area" localSheetId="0">Loop1!$A$1:$L$134</definedName>
    <definedName name="PSA">Limits!$J$2</definedName>
    <definedName name="PSE_Tested">Loop1!$A$5</definedName>
    <definedName name="Report_Version">Loop1!$I$3</definedName>
    <definedName name="Test_Count">Loop1!$U$133</definedName>
    <definedName name="Test_Limits">Limits!$B$5:$H$181</definedName>
    <definedName name="Test_Parms">[1]Sheet1!$AR$129</definedName>
    <definedName name="Time">Loop1!$B$2</definedName>
    <definedName name="Version">Loop1!$J$2</definedName>
  </definedNames>
  <calcPr calcId="144525"/>
</workbook>
</file>

<file path=xl/comments1.xml><?xml version="1.0" encoding="utf-8"?>
<comments xmlns="http://schemas.openxmlformats.org/spreadsheetml/2006/main">
  <authors>
    <author>PGJ1</author>
    <author>Peter Johnson</author>
  </authors>
  <commentList>
    <comment ref="J42" authorId="0">
      <text>
        <r>
          <rPr>
            <b/>
            <sz val="8"/>
            <rFont val="Tahoma"/>
            <charset val="134"/>
          </rPr>
          <t>PGJ1:</t>
        </r>
        <r>
          <rPr>
            <sz val="8"/>
            <rFont val="Tahoma"/>
            <charset val="134"/>
          </rPr>
          <t xml:space="preserve">
Allow 0.4 msec for measurement uncertainty</t>
        </r>
      </text>
    </comment>
    <comment ref="L42" authorId="0">
      <text>
        <r>
          <rPr>
            <b/>
            <sz val="8"/>
            <rFont val="Tahoma"/>
            <charset val="134"/>
          </rPr>
          <t>PGJ1:</t>
        </r>
        <r>
          <rPr>
            <sz val="8"/>
            <rFont val="Tahoma"/>
            <charset val="134"/>
          </rPr>
          <t xml:space="preserve">
Allow 0.4 msec for measurement uncertainty</t>
        </r>
      </text>
    </comment>
    <comment ref="J44" authorId="0">
      <text>
        <r>
          <rPr>
            <b/>
            <sz val="8"/>
            <rFont val="Tahoma"/>
            <charset val="134"/>
          </rPr>
          <t>PGJ1:</t>
        </r>
        <r>
          <rPr>
            <sz val="8"/>
            <rFont val="Tahoma"/>
            <charset val="134"/>
          </rPr>
          <t xml:space="preserve">
Allow 0.4 msec for measurement uncertainty</t>
        </r>
      </text>
    </comment>
    <comment ref="L44" authorId="0">
      <text>
        <r>
          <rPr>
            <b/>
            <sz val="8"/>
            <rFont val="Tahoma"/>
            <charset val="134"/>
          </rPr>
          <t>PGJ1:</t>
        </r>
        <r>
          <rPr>
            <sz val="8"/>
            <rFont val="Tahoma"/>
            <charset val="134"/>
          </rPr>
          <t xml:space="preserve">
Allow 0.4 msec for measurement uncertainty</t>
        </r>
      </text>
    </comment>
    <comment ref="C46" authorId="0">
      <text>
        <r>
          <rPr>
            <b/>
            <sz val="8"/>
            <rFont val="Tahoma"/>
            <charset val="134"/>
          </rPr>
          <t>PGJ1:</t>
        </r>
        <r>
          <rPr>
            <sz val="8"/>
            <rFont val="Tahoma"/>
            <charset val="134"/>
          </rPr>
          <t xml:space="preserve">
Allow 0.4 msec for measurement uncertainty</t>
        </r>
      </text>
    </comment>
    <comment ref="C47" authorId="0">
      <text>
        <r>
          <rPr>
            <b/>
            <sz val="8"/>
            <rFont val="Tahoma"/>
            <charset val="134"/>
          </rPr>
          <t>PGJ1:</t>
        </r>
        <r>
          <rPr>
            <sz val="8"/>
            <rFont val="Tahoma"/>
            <charset val="134"/>
          </rPr>
          <t xml:space="preserve">
Allow 0.4 msec for measurement uncertainty</t>
        </r>
      </text>
    </comment>
    <comment ref="D47" authorId="0">
      <text>
        <r>
          <rPr>
            <b/>
            <sz val="8"/>
            <rFont val="Tahoma"/>
            <charset val="134"/>
          </rPr>
          <t>PGJ1:</t>
        </r>
        <r>
          <rPr>
            <sz val="8"/>
            <rFont val="Tahoma"/>
            <charset val="134"/>
          </rPr>
          <t xml:space="preserve">
Allow 0.4 msec for measurement uncertainty</t>
        </r>
      </text>
    </comment>
    <comment ref="C48" authorId="0">
      <text>
        <r>
          <rPr>
            <b/>
            <sz val="8"/>
            <rFont val="Tahoma"/>
            <charset val="134"/>
          </rPr>
          <t>PGJ1:</t>
        </r>
        <r>
          <rPr>
            <sz val="8"/>
            <rFont val="Tahoma"/>
            <charset val="134"/>
          </rPr>
          <t xml:space="preserve">
Allow 0.4 msec for measurement uncertainty</t>
        </r>
      </text>
    </comment>
    <comment ref="D48" authorId="1">
      <text>
        <r>
          <rPr>
            <b/>
            <sz val="10"/>
            <rFont val="Tahoma"/>
            <charset val="134"/>
          </rPr>
          <t>Peter Johnson:</t>
        </r>
        <r>
          <rPr>
            <sz val="10"/>
            <rFont val="Tahoma"/>
            <charset val="134"/>
          </rPr>
          <t xml:space="preserve">
=Tpon_Max - 4*6msec</t>
        </r>
      </text>
    </comment>
    <comment ref="C108" authorId="0">
      <text>
        <r>
          <rPr>
            <sz val="8"/>
            <rFont val="Tahoma"/>
            <charset val="134"/>
          </rPr>
          <t>Assumes PSE with max 57 Volt output at full load. Use Icon_% for PSE Power Conformance.</t>
        </r>
      </text>
    </comment>
    <comment ref="C109" authorId="1">
      <text>
        <r>
          <rPr>
            <sz val="9"/>
            <rFont val="Tahoma"/>
            <charset val="134"/>
          </rPr>
          <t>% Iport(capacity) / Icon(0)</t>
        </r>
      </text>
    </comment>
    <comment ref="C110" authorId="0">
      <text>
        <r>
          <rPr>
            <sz val="8"/>
            <rFont val="Tahoma"/>
            <charset val="134"/>
          </rPr>
          <t>Assumes PSE with max 57 Volt output at full load. Use Icon_% for PSE Power Conformance.</t>
        </r>
      </text>
    </comment>
    <comment ref="C111" authorId="1">
      <text>
        <r>
          <rPr>
            <sz val="9"/>
            <rFont val="Tahoma"/>
            <charset val="134"/>
          </rPr>
          <t>% Iport(capacity) / Icon(0)</t>
        </r>
      </text>
    </comment>
    <comment ref="C112" authorId="0">
      <text>
        <r>
          <rPr>
            <sz val="8"/>
            <rFont val="Tahoma"/>
            <charset val="134"/>
          </rPr>
          <t>Assumes PSE with max 57 Volt output at full load. Use Icon_% for PSE Power Conformance.</t>
        </r>
      </text>
    </comment>
    <comment ref="C113" authorId="1">
      <text>
        <r>
          <rPr>
            <sz val="9"/>
            <rFont val="Tahoma"/>
            <charset val="134"/>
          </rPr>
          <t>% Iport(capacity) / Icon(0)</t>
        </r>
      </text>
    </comment>
    <comment ref="C114" authorId="0">
      <text>
        <r>
          <rPr>
            <sz val="8"/>
            <rFont val="Tahoma"/>
            <charset val="134"/>
          </rPr>
          <t>Assumes PSE with max 57 Volt output at full load. Use Icon_% for PSE Power Conformance.</t>
        </r>
      </text>
    </comment>
    <comment ref="C115" authorId="1">
      <text>
        <r>
          <rPr>
            <sz val="9"/>
            <rFont val="Tahoma"/>
            <charset val="134"/>
          </rPr>
          <t>% Iport(capacity) / Icon(0)</t>
        </r>
      </text>
    </comment>
    <comment ref="C116" authorId="0">
      <text>
        <r>
          <rPr>
            <sz val="8"/>
            <rFont val="Tahoma"/>
            <charset val="134"/>
          </rPr>
          <t>Assumes PSE with max 57 Volt output at full load. Use Icon_% for PSE Power Conformance.</t>
        </r>
      </text>
    </comment>
    <comment ref="C117" authorId="1">
      <text>
        <r>
          <rPr>
            <sz val="9"/>
            <rFont val="Tahoma"/>
            <charset val="134"/>
          </rPr>
          <t>% Iport(capacity) / Icon(0)</t>
        </r>
      </text>
    </comment>
  </commentList>
</comments>
</file>

<file path=xl/sharedStrings.xml><?xml version="1.0" encoding="utf-8"?>
<sst xmlns="http://schemas.openxmlformats.org/spreadsheetml/2006/main" count="1185" uniqueCount="577">
  <si>
    <t>PSE Conformance Test Suite</t>
  </si>
  <si>
    <t>July 2, 2021</t>
  </si>
  <si>
    <t xml:space="preserve"> version</t>
  </si>
  <si>
    <t>5.2.00</t>
  </si>
  <si>
    <t>Port Count………………………………</t>
  </si>
  <si>
    <t xml:space="preserve">Test Mode:  </t>
  </si>
  <si>
    <t xml:space="preserve"> report version 5.2.00</t>
  </si>
  <si>
    <t>Loop Count……………………………..</t>
  </si>
  <si>
    <t xml:space="preserve">Sifos Interop Index*:  </t>
  </si>
  <si>
    <t>DEMO MODE!</t>
  </si>
  <si>
    <r>
      <rPr>
        <sz val="10"/>
        <rFont val="Arial"/>
        <charset val="134"/>
      </rPr>
      <t xml:space="preserve">PSE Tested: </t>
    </r>
    <r>
      <rPr>
        <sz val="10"/>
        <color theme="2"/>
        <rFont val="Arial"/>
        <charset val="134"/>
      </rPr>
      <t>Unspecified Type-1 15.4W</t>
    </r>
  </si>
  <si>
    <t>Error Log:</t>
  </si>
  <si>
    <t>None</t>
  </si>
  <si>
    <t>Chassis ID: 192.168.221.105</t>
  </si>
  <si>
    <t>Low</t>
  </si>
  <si>
    <t>P/F</t>
  </si>
  <si>
    <t>High</t>
  </si>
  <si>
    <t>Interop</t>
  </si>
  <si>
    <t>TestLoop:  1</t>
  </si>
  <si>
    <t xml:space="preserve">    1-1</t>
  </si>
  <si>
    <t>UNITS</t>
  </si>
  <si>
    <t>Min</t>
  </si>
  <si>
    <t>Max</t>
  </si>
  <si>
    <t>Average</t>
  </si>
  <si>
    <t>Limit</t>
  </si>
  <si>
    <t>Info Low</t>
  </si>
  <si>
    <t>Info High</t>
  </si>
  <si>
    <t>Weight</t>
  </si>
  <si>
    <t>Score</t>
  </si>
  <si>
    <t>Sig. Dig.</t>
  </si>
  <si>
    <t xml:space="preserve">Test: det_v                 </t>
  </si>
  <si>
    <t xml:space="preserve">       Open_Circuit_Det_Voc=</t>
  </si>
  <si>
    <t xml:space="preserve">  volts</t>
  </si>
  <si>
    <t xml:space="preserve">            Peak_Det_Vvalid=</t>
  </si>
  <si>
    <t xml:space="preserve">             Min_Det_Vvalid=</t>
  </si>
  <si>
    <t xml:space="preserve">       Det_Volt_Step_dVtest=</t>
  </si>
  <si>
    <t xml:space="preserve">             Detection_Slew=</t>
  </si>
  <si>
    <t xml:space="preserve"> V/usec</t>
  </si>
  <si>
    <t xml:space="preserve">         Good_Sig_Det_Pulse=</t>
  </si>
  <si>
    <t xml:space="preserve">  edges</t>
  </si>
  <si>
    <t xml:space="preserve">            Backoff_Voltage=</t>
  </si>
  <si>
    <t xml:space="preserve">             Non_802_Step_V=</t>
  </si>
  <si>
    <t xml:space="preserve">              High_Sig_MaxV=</t>
  </si>
  <si>
    <t xml:space="preserve">            Non_802_Discr_?=</t>
  </si>
  <si>
    <t xml:space="preserve">   ****</t>
  </si>
  <si>
    <t xml:space="preserve">            Detect_Strategy=</t>
  </si>
  <si>
    <t xml:space="preserve">Test: det_i                 </t>
  </si>
  <si>
    <t xml:space="preserve">           Init_Current_Isc=</t>
  </si>
  <si>
    <t xml:space="preserve">     mA</t>
  </si>
  <si>
    <t xml:space="preserve">            Det_Current_Isc=</t>
  </si>
  <si>
    <t xml:space="preserve">Test: det_range             </t>
  </si>
  <si>
    <t xml:space="preserve">                  Rgood_Max=</t>
  </si>
  <si>
    <t xml:space="preserve">   Kohm</t>
  </si>
  <si>
    <t xml:space="preserve">                  Rgood_Min=</t>
  </si>
  <si>
    <t xml:space="preserve">                   Rmid_det=</t>
  </si>
  <si>
    <t xml:space="preserve">                  Cgood_Max=</t>
  </si>
  <si>
    <t xml:space="preserve">     uF</t>
  </si>
  <si>
    <t xml:space="preserve">             Rbad_Cbad_Stat=</t>
  </si>
  <si>
    <t xml:space="preserve">Test: det_time              </t>
  </si>
  <si>
    <t xml:space="preserve">          Backoff_Time_Tdbo=</t>
  </si>
  <si>
    <t xml:space="preserve">   msec</t>
  </si>
  <si>
    <t xml:space="preserve">       Eff_Backoff_Tdbo_eff=</t>
  </si>
  <si>
    <t xml:space="preserve">               Backoff_Type=</t>
  </si>
  <si>
    <t xml:space="preserve">        Detection_Time_Tdet=</t>
  </si>
  <si>
    <t xml:space="preserve">             Total_Det_Time=</t>
  </si>
  <si>
    <t xml:space="preserve">Test: det_rsource           </t>
  </si>
  <si>
    <t xml:space="preserve">      Output_Impedance_Zout=</t>
  </si>
  <si>
    <t xml:space="preserve">   KOhm</t>
  </si>
  <si>
    <t xml:space="preserve">Test: class_v               </t>
  </si>
  <si>
    <t xml:space="preserve">       Class_Voltage_Vclass=</t>
  </si>
  <si>
    <t xml:space="preserve">                 Vclass_Min=</t>
  </si>
  <si>
    <t xml:space="preserve">Test: class_time            </t>
  </si>
  <si>
    <t xml:space="preserve">                Event_Count=</t>
  </si>
  <si>
    <t xml:space="preserve">            Class_Time_Tpdc=</t>
  </si>
  <si>
    <t xml:space="preserve">Test: class_err             </t>
  </si>
  <si>
    <t xml:space="preserve">                  Class_lim=</t>
  </si>
  <si>
    <t xml:space="preserve">                 Pwr_Cl_lim=</t>
  </si>
  <si>
    <t xml:space="preserve">                  Pwr_Cl_55=</t>
  </si>
  <si>
    <t xml:space="preserve">Test: pwrup_time            </t>
  </si>
  <si>
    <t xml:space="preserve">     Pwr-On_Rise_Time_Trise=</t>
  </si>
  <si>
    <t xml:space="preserve">   usec</t>
  </si>
  <si>
    <t xml:space="preserve">         Power-On_Time_Tpon=</t>
  </si>
  <si>
    <t xml:space="preserve">Test: pwrup_inrush          </t>
  </si>
  <si>
    <t xml:space="preserve">               Init_Iinrush=</t>
  </si>
  <si>
    <t xml:space="preserve">             Max_Iinrush_c0=</t>
  </si>
  <si>
    <t xml:space="preserve">                Min_Iinrush=</t>
  </si>
  <si>
    <t xml:space="preserve">                    Tinrush=</t>
  </si>
  <si>
    <t xml:space="preserve">                 Inrush_45m=</t>
  </si>
  <si>
    <t xml:space="preserve">  Volts</t>
  </si>
  <si>
    <t xml:space="preserve">             Inrush_Voltage=</t>
  </si>
  <si>
    <t xml:space="preserve">            Max_Init_Inrush=</t>
  </si>
  <si>
    <t xml:space="preserve">         Inrush_Strategy_c0=</t>
  </si>
  <si>
    <t xml:space="preserve">Test: pwron_v               </t>
  </si>
  <si>
    <t xml:space="preserve">                Vport_min_1=</t>
  </si>
  <si>
    <t xml:space="preserve">      V</t>
  </si>
  <si>
    <t xml:space="preserve">                Vport_max_1=</t>
  </si>
  <si>
    <t xml:space="preserve">             Vport_ripple_1=</t>
  </si>
  <si>
    <t xml:space="preserve">   mVpp</t>
  </si>
  <si>
    <t xml:space="preserve">              Vport_noise_1=</t>
  </si>
  <si>
    <t xml:space="preserve">               Vtrans_min_1=</t>
  </si>
  <si>
    <t xml:space="preserve">               Vtrans_max_1=</t>
  </si>
  <si>
    <t xml:space="preserve">Test: pwron_pwrcap          </t>
  </si>
  <si>
    <t xml:space="preserve">                    Pcon_c0=</t>
  </si>
  <si>
    <t xml:space="preserve">  watts</t>
  </si>
  <si>
    <t xml:space="preserve">                  Icon_%_c0=</t>
  </si>
  <si>
    <t xml:space="preserve">      %</t>
  </si>
  <si>
    <t xml:space="preserve">                    Pcon_c1=</t>
  </si>
  <si>
    <t xml:space="preserve">                  Icon_%_c1=</t>
  </si>
  <si>
    <t xml:space="preserve">                    Pcon_c2=</t>
  </si>
  <si>
    <t xml:space="preserve">                  Icon_%_c2=</t>
  </si>
  <si>
    <t xml:space="preserve">                    Pcon_c3=</t>
  </si>
  <si>
    <t xml:space="preserve">                  Icon_%_c3=</t>
  </si>
  <si>
    <t xml:space="preserve">Test: pwron_maxi            </t>
  </si>
  <si>
    <t xml:space="preserve">                  Ilim_Peak=</t>
  </si>
  <si>
    <t xml:space="preserve">                 Ilim_Min_1=</t>
  </si>
  <si>
    <t xml:space="preserve">                     Tlim_1=</t>
  </si>
  <si>
    <t xml:space="preserve">                     Vlim_1=</t>
  </si>
  <si>
    <t xml:space="preserve">                 Ilim_Max_1=</t>
  </si>
  <si>
    <t xml:space="preserve">           Ilim_Low_V_Tol_1=</t>
  </si>
  <si>
    <t xml:space="preserve">                 Ktran_lo_1=</t>
  </si>
  <si>
    <t xml:space="preserve">Test: pwron_overld          </t>
  </si>
  <si>
    <t xml:space="preserve">                   %Ipeak_1=</t>
  </si>
  <si>
    <t xml:space="preserve">              Vport_Ipeak_1=</t>
  </si>
  <si>
    <t xml:space="preserve">               Vport_5%DC_1=</t>
  </si>
  <si>
    <t xml:space="preserve">Test: mps_dc_valid          </t>
  </si>
  <si>
    <t xml:space="preserve">        Min_Valid_Time_Tmps=</t>
  </si>
  <si>
    <t xml:space="preserve">             Duty_Cycle_tol=</t>
  </si>
  <si>
    <t xml:space="preserve">Test: mps_dc_pwrdn          </t>
  </si>
  <si>
    <t xml:space="preserve">           Min_Valid_I_hold=</t>
  </si>
  <si>
    <t xml:space="preserve">     Time-to-Shutdown_Tmpdo=</t>
  </si>
  <si>
    <t xml:space="preserve">      Max_Voltage_Vopen_max=</t>
  </si>
  <si>
    <t xml:space="preserve">Test: pwrdn_overld          </t>
  </si>
  <si>
    <t xml:space="preserve">                     Icut_1=</t>
  </si>
  <si>
    <t xml:space="preserve">                     Tcut_1=</t>
  </si>
  <si>
    <t xml:space="preserve">                    Isoft_1=</t>
  </si>
  <si>
    <t xml:space="preserve">                    Tsoft_1=</t>
  </si>
  <si>
    <t xml:space="preserve">Test: pwrdn_time            </t>
  </si>
  <si>
    <t xml:space="preserve">         Turn-Off_Time_Toff=</t>
  </si>
  <si>
    <t xml:space="preserve">   mSec</t>
  </si>
  <si>
    <t xml:space="preserve">            Output_Cap_Cout=</t>
  </si>
  <si>
    <t xml:space="preserve">             Output_Load_Rp=</t>
  </si>
  <si>
    <t xml:space="preserve">Test: pwrdn_v               </t>
  </si>
  <si>
    <t xml:space="preserve">              Avg_Idle_Voff=</t>
  </si>
  <si>
    <t xml:space="preserve">    VDC</t>
  </si>
  <si>
    <t xml:space="preserve">            Error_Delay_Ted=</t>
  </si>
  <si>
    <t xml:space="preserve">       Peak_Error_Delay_Ved=</t>
  </si>
  <si>
    <t>Test Port Model Number:</t>
  </si>
  <si>
    <t>Test Port Hardware Version:</t>
  </si>
  <si>
    <t>Test Port Firmware Version:</t>
  </si>
  <si>
    <t>Last 3 rows are</t>
  </si>
  <si>
    <t>test port version info</t>
  </si>
  <si>
    <t>Test Count</t>
  </si>
  <si>
    <t>Parameter Count</t>
  </si>
  <si>
    <t>4.0.00</t>
  </si>
  <si>
    <t>Note! Conformance Test Suite Version</t>
  </si>
  <si>
    <t xml:space="preserve">   with PSA Port Combiners does not assure </t>
  </si>
  <si>
    <t xml:space="preserve">   full compliance to the IEEE 802.3at specification.</t>
  </si>
  <si>
    <t>3.1F</t>
  </si>
  <si>
    <t xml:space="preserve">   performs best with Test Port Firmware</t>
  </si>
  <si>
    <r>
      <rPr>
        <b/>
        <sz val="11"/>
        <color theme="2"/>
        <rFont val="Arial"/>
        <charset val="134"/>
      </rPr>
      <t xml:space="preserve">802.3at Test Limits            </t>
    </r>
  </si>
  <si>
    <t>Pwr'd Prs:</t>
  </si>
  <si>
    <t>Alt-A</t>
  </si>
  <si>
    <t>PD TYPE:</t>
  </si>
  <si>
    <t>Type-1</t>
  </si>
  <si>
    <t>30W_Grant:</t>
  </si>
  <si>
    <t>NONE</t>
  </si>
  <si>
    <t>PSA:</t>
  </si>
  <si>
    <t>MinFW Ver:</t>
  </si>
  <si>
    <t>4.17</t>
  </si>
  <si>
    <t>BT:</t>
  </si>
  <si>
    <t>NO</t>
  </si>
  <si>
    <t>Parameter</t>
  </si>
  <si>
    <t>Low Limit</t>
  </si>
  <si>
    <t>High Limit</t>
  </si>
  <si>
    <t>Units</t>
  </si>
  <si>
    <t>Type</t>
  </si>
  <si>
    <t>Sig.Digs.</t>
  </si>
  <si>
    <t>Intop Wt.</t>
  </si>
  <si>
    <t>Configuration Options:</t>
  </si>
  <si>
    <t xml:space="preserve">Test: det_v                         </t>
  </si>
  <si>
    <t xml:space="preserve"> Pwr'd Prs:</t>
  </si>
  <si>
    <t>Alt-B</t>
  </si>
  <si>
    <t>Volts</t>
  </si>
  <si>
    <t>PF</t>
  </si>
  <si>
    <t xml:space="preserve"> PD TYPE:</t>
  </si>
  <si>
    <t>Type-2</t>
  </si>
  <si>
    <t xml:space="preserve"> HighPwrGrant:</t>
  </si>
  <si>
    <t>PHY</t>
  </si>
  <si>
    <t>LLDP</t>
  </si>
  <si>
    <t>PHY+LLDP</t>
  </si>
  <si>
    <t xml:space="preserve"> BT:</t>
  </si>
  <si>
    <t>YES</t>
  </si>
  <si>
    <r>
      <rPr>
        <sz val="10"/>
        <rFont val="Arial"/>
        <charset val="134"/>
      </rPr>
      <t>V/</t>
    </r>
    <r>
      <rPr>
        <sz val="10"/>
        <rFont val="Symbol"/>
        <charset val="2"/>
      </rPr>
      <t>m</t>
    </r>
    <r>
      <rPr>
        <sz val="10"/>
        <rFont val="Arial"/>
        <charset val="134"/>
      </rPr>
      <t>sec</t>
    </r>
  </si>
  <si>
    <t>Steps</t>
  </si>
  <si>
    <t>Limit Logic Color Key</t>
  </si>
  <si>
    <t>Warn</t>
  </si>
  <si>
    <t>PSE ALT TYPE Dependence</t>
  </si>
  <si>
    <t>30W Grant (PSE Type) Dependence</t>
  </si>
  <si>
    <t>****</t>
  </si>
  <si>
    <t>PD Pwr Type + 30W Grant Dependence</t>
  </si>
  <si>
    <t>802.3at vs 802.3bt Dependence</t>
  </si>
  <si>
    <t xml:space="preserve">Test: det_i                         </t>
  </si>
  <si>
    <t>BT vs AT+ 30W Grant Dependence</t>
  </si>
  <si>
    <t>mA</t>
  </si>
  <si>
    <t>BT vs AT + 30W Grant + PD TYPE Dependence</t>
  </si>
  <si>
    <t xml:space="preserve">Test: det_range                     </t>
  </si>
  <si>
    <r>
      <rPr>
        <sz val="10"/>
        <rFont val="Arial"/>
        <charset val="134"/>
      </rPr>
      <t>K</t>
    </r>
    <r>
      <rPr>
        <sz val="10"/>
        <rFont val="Symbol"/>
        <charset val="2"/>
      </rPr>
      <t>W</t>
    </r>
  </si>
  <si>
    <t>Parameter Color Key</t>
  </si>
  <si>
    <t>Conformance Test Suite for 802.3at, 802.3bt</t>
  </si>
  <si>
    <t xml:space="preserve">PSA-3000 Conformance Suite for 802.3bt </t>
  </si>
  <si>
    <r>
      <rPr>
        <sz val="10"/>
        <rFont val="Symbol"/>
        <charset val="2"/>
      </rPr>
      <t>m</t>
    </r>
    <r>
      <rPr>
        <sz val="10"/>
        <rFont val="Arial"/>
        <charset val="134"/>
      </rPr>
      <t>F</t>
    </r>
  </si>
  <si>
    <t xml:space="preserve">Test: det_time                      </t>
  </si>
  <si>
    <t>msec</t>
  </si>
  <si>
    <t xml:space="preserve">Test: det_rsource                   </t>
  </si>
  <si>
    <t xml:space="preserve">       Regulated_Vstep_Zout=</t>
  </si>
  <si>
    <t xml:space="preserve">Test: class_v                       </t>
  </si>
  <si>
    <t xml:space="preserve">         Mark_Voltage_Vmark=</t>
  </si>
  <si>
    <t>802.3at</t>
  </si>
  <si>
    <t>802.3bt</t>
  </si>
  <si>
    <t xml:space="preserve">           Mark_Voltage_Min=</t>
  </si>
  <si>
    <t xml:space="preserve">              Class_Reset_V=</t>
  </si>
  <si>
    <t xml:space="preserve">Test: class_time                    </t>
  </si>
  <si>
    <t>SEE</t>
  </si>
  <si>
    <t>BELOW</t>
  </si>
  <si>
    <t xml:space="preserve">               Event1_Tcle1=</t>
  </si>
  <si>
    <t xml:space="preserve">                Event1_Tlce=</t>
  </si>
  <si>
    <t xml:space="preserve">               Event2_Tcle2=</t>
  </si>
  <si>
    <t xml:space="preserve">                  Mark_Tme1=</t>
  </si>
  <si>
    <r>
      <rPr>
        <b/>
        <sz val="10"/>
        <rFont val="Arial"/>
        <charset val="134"/>
      </rPr>
      <t>EVENT COUNT LIMITS</t>
    </r>
    <r>
      <rPr>
        <sz val="10"/>
        <rFont val="Arial"/>
        <charset val="134"/>
      </rPr>
      <t xml:space="preserve"> (</t>
    </r>
    <r>
      <rPr>
        <i/>
        <sz val="10"/>
        <rFont val="Arial"/>
        <charset val="134"/>
      </rPr>
      <t>hardcoded into formula</t>
    </r>
    <r>
      <rPr>
        <sz val="10"/>
        <rFont val="Arial"/>
        <charset val="134"/>
      </rPr>
      <t>)</t>
    </r>
  </si>
  <si>
    <t xml:space="preserve">                  Mark_Tme2=</t>
  </si>
  <si>
    <t xml:space="preserve">           Class_Reset_Time=</t>
  </si>
  <si>
    <t>All</t>
  </si>
  <si>
    <t xml:space="preserve">         Class_Probe_Events=</t>
  </si>
  <si>
    <t>30W Grnt=</t>
  </si>
  <si>
    <t>PHY,PHY+</t>
  </si>
  <si>
    <t xml:space="preserve">                   Mark_Lim=</t>
  </si>
  <si>
    <t xml:space="preserve">              Pwr_Cl_Uneven=</t>
  </si>
  <si>
    <t xml:space="preserve">                     Treset=</t>
  </si>
  <si>
    <t>Test: class_lldp</t>
  </si>
  <si>
    <t xml:space="preserve">        PSE_Source_Priority=</t>
  </si>
  <si>
    <t>*</t>
  </si>
  <si>
    <t xml:space="preserve">            PSE_MDI_Pwr_Sup=</t>
  </si>
  <si>
    <t xml:space="preserve">            PSE_LLDP_Time_1=</t>
  </si>
  <si>
    <t>sec</t>
  </si>
  <si>
    <t xml:space="preserve">            PSE_LLDP_Type_1=</t>
  </si>
  <si>
    <t xml:space="preserve">            PSE_Echo_Time_1=</t>
  </si>
  <si>
    <t xml:space="preserve">            PSE_Alloc_Pwr_1=</t>
  </si>
  <si>
    <t>Watts</t>
  </si>
  <si>
    <t xml:space="preserve">           PSE_Alloc_Time_1=</t>
  </si>
  <si>
    <t xml:space="preserve">          PD_Power_Adjust_1=</t>
  </si>
  <si>
    <t xml:space="preserve">          PSE_Adjust_Time_1=</t>
  </si>
  <si>
    <t xml:space="preserve">            PSE_LLDP_Time_2=</t>
  </si>
  <si>
    <t xml:space="preserve">            PSE_LLDP_Type_2=</t>
  </si>
  <si>
    <t xml:space="preserve">            PSE_Echo_Time_2=</t>
  </si>
  <si>
    <t xml:space="preserve">            PSE_Alloc_Pwr_2=</t>
  </si>
  <si>
    <t xml:space="preserve">           PSE_Alloc_Time_2=</t>
  </si>
  <si>
    <t xml:space="preserve">          PD_Power_Adjust_2=</t>
  </si>
  <si>
    <t xml:space="preserve">          PSE_Adjust_Time_2=</t>
  </si>
  <si>
    <t xml:space="preserve">       Link_Down_Shutdown_?=</t>
  </si>
  <si>
    <t xml:space="preserve">     PSE_Alloc_Pwr_bt_tlv_1=</t>
  </si>
  <si>
    <t xml:space="preserve">   PD_Power_Adjust_bt_tlv_1=</t>
  </si>
  <si>
    <t xml:space="preserve">     PSE_Alloc_Pwr_bt_tlv_2=</t>
  </si>
  <si>
    <t xml:space="preserve">   PD_Power_Adjust_bt_tlv_2=</t>
  </si>
  <si>
    <t xml:space="preserve">Test: pwrup_time                    </t>
  </si>
  <si>
    <r>
      <rPr>
        <sz val="10"/>
        <rFont val="Symbol"/>
        <charset val="2"/>
      </rPr>
      <t>m</t>
    </r>
    <r>
      <rPr>
        <sz val="10"/>
        <rFont val="Arial"/>
        <charset val="134"/>
      </rPr>
      <t>sec</t>
    </r>
  </si>
  <si>
    <t xml:space="preserve">Test: pwrup_inrush                  </t>
  </si>
  <si>
    <t xml:space="preserve">             Max_Iinrush_c4=</t>
  </si>
  <si>
    <t xml:space="preserve">         Inrush_Strategy_c4=</t>
  </si>
  <si>
    <t>Test: pwron_v</t>
  </si>
  <si>
    <t>mVp-p</t>
  </si>
  <si>
    <t xml:space="preserve">                Vport_min_2=</t>
  </si>
  <si>
    <t xml:space="preserve">                Vport_max_2=</t>
  </si>
  <si>
    <t xml:space="preserve">             Vport_ripple_2=</t>
  </si>
  <si>
    <t xml:space="preserve">              Vport_noise_2=</t>
  </si>
  <si>
    <t xml:space="preserve">               Vtrans_min_2=</t>
  </si>
  <si>
    <t xml:space="preserve">               Vtrans_max_2=</t>
  </si>
  <si>
    <t>Test: pwron_pwrcap</t>
  </si>
  <si>
    <t>%</t>
  </si>
  <si>
    <t xml:space="preserve">                    Pcon_c4=</t>
  </si>
  <si>
    <t xml:space="preserve">                  Icon_%_c4=</t>
  </si>
  <si>
    <t xml:space="preserve">              Type-2_Enable=</t>
  </si>
  <si>
    <t xml:space="preserve">           Pclass_LLDP_22.7=</t>
  </si>
  <si>
    <t xml:space="preserve">           Pclass_LLDP_24.5=</t>
  </si>
  <si>
    <t>Test: pwron_maxi</t>
  </si>
  <si>
    <t xml:space="preserve">                 Tlim_Min_1=</t>
  </si>
  <si>
    <t xml:space="preserve">                 Tlim_Max_1=</t>
  </si>
  <si>
    <t xml:space="preserve">                 Ilim_Min_2=</t>
  </si>
  <si>
    <t xml:space="preserve">                     Tlim_2=</t>
  </si>
  <si>
    <t xml:space="preserve">                 Tlim_Min_2=</t>
  </si>
  <si>
    <t xml:space="preserve">                 Tlim_Max_2=</t>
  </si>
  <si>
    <t xml:space="preserve">                     Vlim_2=</t>
  </si>
  <si>
    <t xml:space="preserve">                 Ilim_Max_2=</t>
  </si>
  <si>
    <t xml:space="preserve">           Ilim_Low_V_Tol_2=</t>
  </si>
  <si>
    <t xml:space="preserve">                 Ktran_lo_2=</t>
  </si>
  <si>
    <t>Test: pwron_overld</t>
  </si>
  <si>
    <t xml:space="preserve">                   %Ipeak_2=</t>
  </si>
  <si>
    <t xml:space="preserve">              Vport_Ipeak_2=</t>
  </si>
  <si>
    <t xml:space="preserve">               Vport_5%DC_2=</t>
  </si>
  <si>
    <t xml:space="preserve">Test: mps_dc_valid                  </t>
  </si>
  <si>
    <t xml:space="preserve">Test: mps_dc_pwrdn                  </t>
  </si>
  <si>
    <t xml:space="preserve">Test: pwrdn_overld                  </t>
  </si>
  <si>
    <t xml:space="preserve">                     Icut_2=</t>
  </si>
  <si>
    <t xml:space="preserve">                     Tcut_2=</t>
  </si>
  <si>
    <t xml:space="preserve">                    Isoft_2=</t>
  </si>
  <si>
    <t xml:space="preserve">                    Tsoft_2=</t>
  </si>
  <si>
    <t xml:space="preserve">Test: pwrdn_time                    </t>
  </si>
  <si>
    <t xml:space="preserve">Test: pwrdn_v                       </t>
  </si>
  <si>
    <t xml:space="preserve">Test: mps_ac_pwrdn                  </t>
  </si>
  <si>
    <t xml:space="preserve">      Power_Down_Time_Tmpdo=</t>
  </si>
  <si>
    <t xml:space="preserve">          DC_Max_Load_Imin1=</t>
  </si>
  <si>
    <t xml:space="preserve">Test: mps_ac_vf                     </t>
  </si>
  <si>
    <t xml:space="preserve">              AC_MPS_V_open=</t>
  </si>
  <si>
    <t>Vp-p</t>
  </si>
  <si>
    <t xml:space="preserve">             AC_MPS_V_open%=</t>
  </si>
  <si>
    <t>%Vport</t>
  </si>
  <si>
    <t xml:space="preserve">           AC_MPS_Frequency=</t>
  </si>
  <si>
    <t>Hz</t>
  </si>
  <si>
    <t xml:space="preserve">                  Slew_Rate=</t>
  </si>
  <si>
    <t xml:space="preserve">        Source_Current_Isac=</t>
  </si>
  <si>
    <t xml:space="preserve">Test: mps_ac_voff                   </t>
  </si>
  <si>
    <t xml:space="preserve">        Peak_AC_MPS_V_open1=</t>
  </si>
  <si>
    <t>Vpk</t>
  </si>
  <si>
    <t xml:space="preserve">      Peak_Disconnect_Vport=</t>
  </si>
  <si>
    <t>802.3at Interoperability Weight Scale</t>
  </si>
  <si>
    <t>Vital Parameter to many 802.3at PD's</t>
  </si>
  <si>
    <t>Parameter could be significant to certain 802.3at PD's</t>
  </si>
  <si>
    <t>Most PD's are insensitive to this parameter</t>
  </si>
  <si>
    <t>Parameter has no impact to PD's</t>
  </si>
  <si>
    <r>
      <rPr>
        <b/>
        <sz val="14"/>
        <color rgb="FFFFFFFF"/>
        <rFont val="Arial"/>
        <charset val="134"/>
      </rPr>
      <t xml:space="preserve">PSE Conformance Test Suite </t>
    </r>
    <r>
      <rPr>
        <b/>
        <sz val="14"/>
        <color theme="4" tint="0.799981688894314"/>
        <rFont val="Arial"/>
        <charset val="134"/>
      </rPr>
      <t>4.x.x</t>
    </r>
    <r>
      <rPr>
        <b/>
        <sz val="14"/>
        <color rgb="FFFFFFFF"/>
        <rFont val="Arial"/>
        <charset val="134"/>
      </rPr>
      <t xml:space="preserve"> (</t>
    </r>
    <r>
      <rPr>
        <b/>
        <sz val="14"/>
        <color theme="4" tint="0.799981688894314"/>
        <rFont val="Arial"/>
        <charset val="134"/>
      </rPr>
      <t>PSA-3000</t>
    </r>
    <r>
      <rPr>
        <b/>
        <sz val="14"/>
        <color rgb="FFFFFFFF"/>
        <rFont val="Arial"/>
        <charset val="134"/>
      </rPr>
      <t>) Tests and Parameters</t>
    </r>
  </si>
  <si>
    <t>Description</t>
  </si>
  <si>
    <t>Special Notes</t>
  </si>
  <si>
    <t>PSA-3000 Reference Manual</t>
  </si>
  <si>
    <t>Peak Open Circuit Detection Voltage</t>
  </si>
  <si>
    <t>Section 5.4</t>
  </si>
  <si>
    <t>Maximum Detection Voltage with Valid Detection Signature</t>
  </si>
  <si>
    <t>Minimum Valid Step Voltage with Valid Detection Signature</t>
  </si>
  <si>
    <t>Minumum 802.3at Voltage Step Magnitude</t>
  </si>
  <si>
    <t>If dVtest step size measures under 1 Volt, then it may be that the PSE is using alternate steps to make the resistance measurement.   If "Info" appears with this parameter, then Good_Sig_Det_Pulse must be 2 or more steps, or this is a "FAIL".</t>
  </si>
  <si>
    <t>Maximum Step Slew Rate</t>
  </si>
  <si>
    <t>Number of Valid Detection Transitions (i.e. between valid step levels)</t>
  </si>
  <si>
    <t>IDLE State voltage during detection backoff</t>
  </si>
  <si>
    <t>Peak Non-802.3at (&lt; 2.8 Volt) Step Voltage Level</t>
  </si>
  <si>
    <t>Test is exposing that PSE may be using additional signaling and measurements prior to or as part of normal 802.3at detection measurements.   These may be beneficial in limiting detection pulse power to a non-PD device, however they are not part of the standard.</t>
  </si>
  <si>
    <t>Maximum Detection Voltage with High Detection Signature</t>
  </si>
  <si>
    <t>The 802.3at specification does not define requirements for detection signaling when detection load is slightly outside valid range.</t>
  </si>
  <si>
    <t>Non_802_Discr_?=</t>
  </si>
  <si>
    <t>This binary indicator is set to "1" when a PSE is determined to be using means other than normal 802.3at detection measurements to resolve the valid detection range.</t>
  </si>
  <si>
    <t>While not required by the standard, one would expect to see normal 802.3at detection pulses when PD signatures are somewhat out of the valid band.   Some PSE's withold 802.3at detection measurements until the signature is virtually inside the valid detection band.</t>
  </si>
  <si>
    <t>Detect_Strategy=</t>
  </si>
  <si>
    <t xml:space="preserve">Type 0:  Normal 802.3at Detection Methods </t>
  </si>
  <si>
    <t>This parameter categorizes PSE port detection strategy into one of 6 categories.   Pre-Detection Only indicates PSE does not form full 802.3at detection pulses until a near valid detection signature is present.   Zero-Backoff means the PSE does not have distinct backoffs during open circuit detection.   50V Pulses refers to existance of legacy detection pulses prior to any PD connection.  Type 4 and 5 indicate that the open circuit detection signaling is entirely above the required PD signature band and thus PSE is relying on PD Detection Signature to be visible outside the minimum specified valid signature band.</t>
  </si>
  <si>
    <t xml:space="preserve">Type 1:  Proprietary Pre-Detection Observed with Open Circuit          </t>
  </si>
  <si>
    <t>Type 2:  Zero-Backoff Type PSE Port Determined</t>
  </si>
  <si>
    <t>Type 3:  Open Circuit Signaling Includes 50V Legacy Detection Pulses</t>
  </si>
  <si>
    <t>Type 4:  Proprietary Pre-Detection Observed with Open Circuit  - Open Circuit Voltage outside PD Detection Voltage Band</t>
  </si>
  <si>
    <t>Type 5:  Zero-Backoff Type PSE Determined - Open Circuit Voltage outside PD Detection Voltage Band</t>
  </si>
  <si>
    <t>Peak Current Flow During Detection Below 2.8 Volts</t>
  </si>
  <si>
    <t>Peak Current Flow During Detection Above 2.8 Volts</t>
  </si>
  <si>
    <t>Maximum Valid Detection Signature Resistance</t>
  </si>
  <si>
    <t>Minimum Valid Detection Signature Resistance</t>
  </si>
  <si>
    <t>Maximum (or Minimum) Detection Signature producing a power-up given connections with various time alignments to the detection measurement.</t>
  </si>
  <si>
    <t>Assess if detection measurement is sensitive to when the detection signature is connected.</t>
  </si>
  <si>
    <t>Maximum Valid Detection Signature Capacitance</t>
  </si>
  <si>
    <t>PSE response to marginally invalid Rdet + lowest rejected Cdet value</t>
  </si>
  <si>
    <t>Determine if adding capacitance causes a high detection signature to become valid to PSE.</t>
  </si>
  <si>
    <t>Backoff Time Between Detection Pulses</t>
  </si>
  <si>
    <r>
      <rPr>
        <i/>
        <sz val="10"/>
        <rFont val="Arial"/>
        <charset val="134"/>
      </rPr>
      <t xml:space="preserve">With ALT B PSE's, strict requirement is minimum 2 seconds.  With ALT A PSE's, IEEE recommended requirement is that a second detection cycle </t>
    </r>
    <r>
      <rPr>
        <i/>
        <u/>
        <sz val="10"/>
        <rFont val="Arial"/>
        <charset val="134"/>
      </rPr>
      <t>complete</t>
    </r>
    <r>
      <rPr>
        <i/>
        <sz val="10"/>
        <rFont val="Arial"/>
        <charset val="134"/>
      </rPr>
      <t xml:space="preserve"> within 2 seconds of the first detection cycle completing, however this is not a strict requirement.  Report will "Info" ALT A PSE's with longer than 1.5 second backoff, allowing 500msec for detection time.</t>
    </r>
  </si>
  <si>
    <t>Eff_Backoff_Tdbo_eff=</t>
  </si>
  <si>
    <t>Effective Backoff Time Following Invalid Signature Measurement - measures time from invalid detection until valid detection producing a power-up.</t>
  </si>
  <si>
    <t>Backoff_Type=</t>
  </si>
  <si>
    <t>Type 0:  Normal 802.3at Detection Backoffs                                              Type 1:  Non-802.3 Signaling Detected                                                  Type 2:  50 Volt Legacy Detection Pulses Detected                                            Type 3: PoH Double-Detection Scheme</t>
  </si>
  <si>
    <t>For the most part, none of these are problems.  The 50V Legacy Detection pulse will place 50V common mode on the PD connection if an invalid PD signature is measured on the first attempt by the PSE port.  Non-802.3 signaling usually indicates proprietary detection assessments.  PoH Double Detection causes detection back-off to become ambiguous.</t>
  </si>
  <si>
    <t>Duration of 802.3at Detection Measurements</t>
  </si>
  <si>
    <t>Measured only over 802.3at Min to Max detection levels.</t>
  </si>
  <si>
    <t>Total Duration of Detection Pulse</t>
  </si>
  <si>
    <t>Measured over exactly one cycle of detection.</t>
  </si>
  <si>
    <t>PSE Effective Output Impedance During PD Detection given a current-sourcing detection scheme</t>
  </si>
  <si>
    <r>
      <rPr>
        <i/>
        <sz val="10"/>
        <rFont val="Arial"/>
        <charset val="134"/>
      </rPr>
      <t>det_rsource cannot determine if PSE output is diode protected or if reverse input resistance = Zout.  Rp (pwrdn_time) MAY be a more accurate indication of Rrev.  Maximum value reported will be 450K</t>
    </r>
    <r>
      <rPr>
        <i/>
        <sz val="10"/>
        <rFont val="Symbol"/>
        <charset val="2"/>
      </rPr>
      <t>W</t>
    </r>
    <r>
      <rPr>
        <i/>
        <sz val="10"/>
        <rFont val="Arial"/>
        <charset val="134"/>
      </rPr>
      <t xml:space="preserve"> as this is highest Zout that can be resolved by the measurement technique.</t>
    </r>
  </si>
  <si>
    <t>PSE Effective Output Impedance During PD Detection given a regulated voltage detection scheme  (e.g. LOW or Zero effective Zout)</t>
  </si>
  <si>
    <t>Average Classification Step Voltage Level</t>
  </si>
  <si>
    <t>Pertains to all PSE's that do PHY classification</t>
  </si>
  <si>
    <t>Section 5.5</t>
  </si>
  <si>
    <t>Minimum Class Voltage given Maximum Valid Class Signature</t>
  </si>
  <si>
    <t>Average Mark Region Voltage Level for 2-Event, Type 2 PSE's only</t>
  </si>
  <si>
    <t>Mark Region is only tested when High Power Grant Type is PHY and Type-2 (or 30W) Power Mode is tested.   The PSA-3000 simulates true Mark Loads while the PSA-1200 does not meaning test limits are only enforceable with the PSA-3000.</t>
  </si>
  <si>
    <t>Minimum Mark Region Voltage with Maximum Valid Mark Load Current</t>
  </si>
  <si>
    <t>For Type-3 BT 2-pair PSEs. Maximum value of the Class Reset Voltage after a Class Probe and prior to Classification</t>
  </si>
  <si>
    <t>Classification Time Duration</t>
  </si>
  <si>
    <t>Classification Pulse (Or Event) Count</t>
  </si>
  <si>
    <t>Must be 1 or 0 Events for Type 1 PSE's, must be at least 1 Event for Type 2 PSE's.  May be 2 Event for Type-2 PSE's that use 2-Event Power Grants.  Note: 3 Events (3 class pulses) will be accepted because while it violates the PSE State diagram, it is compliant to the PD State Diagram meaning PD's must anticipate the possibility of a third classification step.</t>
  </si>
  <si>
    <t>Duration of first Class Event (or Pulse) for Type 2, 2-Event PSE</t>
  </si>
  <si>
    <t>Duration of the LCE Event for Type 3 PSEs</t>
  </si>
  <si>
    <t>Duration of second Class Event (or Pulse) for Type 2, 2-Event PSE</t>
  </si>
  <si>
    <t>Duration of first Mark Event (or Pulse) for Type 2, 2-Event PSE</t>
  </si>
  <si>
    <t>This measurement is not tested to a PASS/FAIL limit because the present PSA Test Blade will not furnish the required Mark Region current to discharge the PSE port following each PSE classification measurement.</t>
  </si>
  <si>
    <t>Duration of second Mark Event (or Pulse) for Type 2, 2-Event PSE</t>
  </si>
  <si>
    <t>For Type-3 BT 2-Pair PSEs.  Number of Class Events in the Class Probe</t>
  </si>
  <si>
    <t>For Type-3 BT 2-Pair PSEs.  Time duration of a Class Reset after a Class Probe and Prior to Classification</t>
  </si>
  <si>
    <t xml:space="preserve">Test: class_err                    </t>
  </si>
  <si>
    <t>Maximum Class Current PSE will support before current limiting</t>
  </si>
  <si>
    <t>PSE Power-Up Response to Current-Limited Class Current</t>
  </si>
  <si>
    <t>Type-2 PSE's should not apply power</t>
  </si>
  <si>
    <t>PSE Power-Up Response to 55mA (non-valid) Class Signature</t>
  </si>
  <si>
    <t>Maximum Mark Current supported during a 2-event Mark Region</t>
  </si>
  <si>
    <t>PSE Power-Up Response to Unequal Class Currents in 2 Event Signature</t>
  </si>
  <si>
    <t>Duration of IDLE Region following Unequal Class Current Signature</t>
  </si>
  <si>
    <t>PSE should IDLE for at least 15 msec</t>
  </si>
  <si>
    <t>Binary indication of Valid (=0) or Invalid (=1) PoE+ Source/Priority Field</t>
  </si>
  <si>
    <t>Should report "PSE", Type 1 or Type 2, "0" in Reserved Fields</t>
  </si>
  <si>
    <t>Binary indication of Valid (=0) or Invalid (=1) MDI Capabilities Field</t>
  </si>
  <si>
    <t>Proper values are 0x07 or 0x0F according to Clause 79</t>
  </si>
  <si>
    <t xml:space="preserve">            PSE_LLDP_Time_n=</t>
  </si>
  <si>
    <t>Time from Power-Up until Receipt of First PoE LLDP Packet from PSE given Type "n" (1 or 2) mode PD Emulation</t>
  </si>
  <si>
    <t>Type 2 PSE's must provide packet within 10 seconds of entering the Power-On state</t>
  </si>
  <si>
    <t xml:space="preserve">            PSE_LLDP_Type_n=</t>
  </si>
  <si>
    <t>PSE Type Communicated in PoE+ Source/Priority Field given Type "n" (1 or 2) mode PD Emulation.</t>
  </si>
  <si>
    <t>Must be 1 or 2</t>
  </si>
  <si>
    <t xml:space="preserve">            PSE_Echo_Time_n=</t>
  </si>
  <si>
    <t>Time for PSE to Echo PD Power Request given Type "n" (1 or 2) mode PD Emulation.</t>
  </si>
  <si>
    <t>Requirement is in 10 seconds or less</t>
  </si>
  <si>
    <t xml:space="preserve">            PSE_Alloc_Pwr_n=</t>
  </si>
  <si>
    <t>Power Allocated to PD at Startup given Type "n" (1 or 2) mode PD Emulation.</t>
  </si>
  <si>
    <t>Should be &gt;= to PD Request (8.1 W for Type-1, 20.3W for Type-2)</t>
  </si>
  <si>
    <t xml:space="preserve">           PSE_Alloc_Time_n=</t>
  </si>
  <si>
    <t>Time for PSE to Allocate PD Power Request given Type "n" (1 or 2) mode PD Emulation.</t>
  </si>
  <si>
    <t>Soft limit of 30 seconds used - this is not strictly specified in 802.3at.</t>
  </si>
  <si>
    <t xml:space="preserve">          PD_Power_Adjust_n=</t>
  </si>
  <si>
    <t>Power Allocated to PD following a Power Adjustment Request to Maximum Power Allowed given Type "n" (1 or 2) mode PD Emulation.</t>
  </si>
  <si>
    <t>Should be = to PD Request (13 W for Type-1, 25.5W for Type-2)</t>
  </si>
  <si>
    <t xml:space="preserve">          PSE_Adjust_Time_n=</t>
  </si>
  <si>
    <t>Time for PSE to Echo PD Power (Adjustment) Request given Type "n" (1 or 2) mode PD Emulation.</t>
  </si>
  <si>
    <t>Indicator of PSE response when LAN link drops after powering and negotiating with a PD.  0= POWERED, 1= POWER_REMOVED.</t>
  </si>
  <si>
    <t>Test evaluates power status 12 seconds after LAN Link Drop.   PSE's that drop power are at risk interoperating with PD's that deliberately shut down PHY's.</t>
  </si>
  <si>
    <t xml:space="preserve">     PSE_Alloc_Pwr_bt_tlv_n=</t>
  </si>
  <si>
    <t xml:space="preserve">For Type-3 BT 2-pair PSEs. 2 &gt; at_tlv value, 1 = at_tlv value, 0 &lt; at_tlv value or PSE did not transmit BT TLVs </t>
  </si>
  <si>
    <t>If PD Emulation is done using a 3102 card then BT TLVs are not supported.  Values drop the '_n' and report a 0 with a warning</t>
  </si>
  <si>
    <t xml:space="preserve">   PD_Power_Adjust_bt_tlv_n=</t>
  </si>
  <si>
    <t>Rise Time of Power-Up Edge</t>
  </si>
  <si>
    <r>
      <rPr>
        <i/>
        <sz val="10"/>
        <rFont val="Arial"/>
        <charset val="134"/>
      </rPr>
      <t xml:space="preserve">Fastest rise time that can be measured is 6usec.  If -99, then rise time measurement likely false triggered on a large voltage transient most likely at start or end of classification pulse.
As of report version </t>
    </r>
    <r>
      <rPr>
        <b/>
        <i/>
        <sz val="10"/>
        <rFont val="Arial"/>
        <charset val="134"/>
      </rPr>
      <t>5.1.04</t>
    </r>
    <r>
      <rPr>
        <i/>
        <sz val="10"/>
        <rFont val="Arial"/>
        <charset val="134"/>
      </rPr>
      <t>, this parameter is PASS/</t>
    </r>
    <r>
      <rPr>
        <b/>
        <i/>
        <sz val="10"/>
        <rFont val="Arial"/>
        <charset val="134"/>
      </rPr>
      <t>INFO</t>
    </r>
    <r>
      <rPr>
        <i/>
        <sz val="10"/>
        <rFont val="Arial"/>
        <charset val="134"/>
      </rPr>
      <t xml:space="preserve"> and not PASS/</t>
    </r>
    <r>
      <rPr>
        <b/>
        <i/>
        <sz val="10"/>
        <rFont val="Arial"/>
        <charset val="134"/>
      </rPr>
      <t xml:space="preserve">FAIL </t>
    </r>
    <r>
      <rPr>
        <i/>
        <sz val="10"/>
        <rFont val="Arial"/>
        <charset val="134"/>
      </rPr>
      <t xml:space="preserve">because technically speaking, the explicit measurement of 10% to 90% of </t>
    </r>
    <r>
      <rPr>
        <b/>
        <i/>
        <sz val="10"/>
        <rFont val="Arial"/>
        <charset val="134"/>
      </rPr>
      <t>Vpse</t>
    </r>
    <r>
      <rPr>
        <i/>
        <sz val="10"/>
        <rFont val="Arial"/>
        <charset val="134"/>
      </rPr>
      <t xml:space="preserve"> is not possible with the PSA time interval measurement and would not be feasible using any method if the PSE powers up from Vmark (2-Event classification).   A rise time measurement with an </t>
    </r>
    <r>
      <rPr>
        <b/>
        <i/>
        <sz val="10"/>
        <rFont val="Arial"/>
        <charset val="134"/>
      </rPr>
      <t>INFO</t>
    </r>
    <r>
      <rPr>
        <i/>
        <sz val="10"/>
        <rFont val="Arial"/>
        <charset val="134"/>
      </rPr>
      <t xml:space="preserve"> mark indicates a power-up slew rate that exceeds the 'intent' of the 802.3 standard.</t>
    </r>
  </si>
  <si>
    <t>Section 5.6</t>
  </si>
  <si>
    <t>Time Duration from End of Detection Until Power-Up</t>
  </si>
  <si>
    <t>Measured from the final complete detection prior to the power-up event.</t>
  </si>
  <si>
    <t>Peak Inrush Current between 1 and 3 msec of current-limiting inrush overload.</t>
  </si>
  <si>
    <t xml:space="preserve">             Max_Iinrush_cN=</t>
  </si>
  <si>
    <t>Maximum In-Rush Load Current Supplied During After 1 msec given Class N power-up.</t>
  </si>
  <si>
    <t>Upper limit is 450 mA.  Lower limit of 0 since this parameter is only compared to an upper limit.</t>
  </si>
  <si>
    <t>Minimum In-Rush Load Current Supported During First 45 msec.</t>
  </si>
  <si>
    <r>
      <rPr>
        <i/>
        <sz val="10"/>
        <rFont val="Arial"/>
        <charset val="134"/>
      </rPr>
      <t xml:space="preserve">Inrush Current must be above 400mA if Vport </t>
    </r>
    <r>
      <rPr>
        <i/>
        <u/>
        <sz val="10"/>
        <rFont val="Arial"/>
        <charset val="134"/>
      </rPr>
      <t>&gt;</t>
    </r>
    <r>
      <rPr>
        <i/>
        <sz val="10"/>
        <rFont val="Arial"/>
        <charset val="134"/>
      </rPr>
      <t>30V and above 60 mA if Inrush Voltage is measured between 10 and 30 volts.   PSA active load in saturation is 62 ohm, so Vport will likely be between 20 and 30 VDC.</t>
    </r>
  </si>
  <si>
    <t>Average Output Voltage from 5 to 45 msec During 400 mA In-Rush Load.   In the event of power foldback, Vinrush is measured over a 5 msec period coincident with 65mA load immediately following the current limiting overload removal.  Minimum voltage allowed is 10V.</t>
  </si>
  <si>
    <t>A PSE must support 400 mA of inrush current during power-up so long as port voltage (Inrush_Voltage) remains above 30VDC.</t>
  </si>
  <si>
    <t>Tinrush=</t>
  </si>
  <si>
    <t>Time from onset of inrush current-limiting overload until port shut-down by the PSE.</t>
  </si>
  <si>
    <t>Tinrush is capped at 100msec, the duration of the inrush load transient applied.</t>
  </si>
  <si>
    <t>Power-Up Response to a current-limiting Inrush overload of duration 45 msec, or less than Tinrush (MIN).</t>
  </si>
  <si>
    <t>Inrush overloads less than duration Tinrush(MIN), or 50 msec, should not prohibit port power-ups.</t>
  </si>
  <si>
    <t xml:space="preserve">Peak In-Rush Load Current Allowed During First 1 msec </t>
  </si>
  <si>
    <t>Testing examines various inrush overloads up to 1000 mA</t>
  </si>
  <si>
    <t xml:space="preserve">         Inrush_Strategy_cN=</t>
  </si>
  <si>
    <r>
      <rPr>
        <sz val="10"/>
        <rFont val="Arial"/>
        <charset val="134"/>
      </rPr>
      <t xml:space="preserve">Determines if Port Voltage or </t>
    </r>
    <r>
      <rPr>
        <b/>
        <sz val="10"/>
        <rFont val="Arial"/>
        <charset val="134"/>
      </rPr>
      <t>Tinrush</t>
    </r>
    <r>
      <rPr>
        <sz val="10"/>
        <rFont val="Arial"/>
        <charset val="134"/>
      </rPr>
      <t xml:space="preserve"> Time is used to mark the end of the Power Up (Inrush) processing state.  If Voltage is used, characterizes subsequent current limiting behavior given Class N power-up.                                           0 = Time (802.3at  recommended)
1= Voltage, current limited @ </t>
    </r>
    <r>
      <rPr>
        <b/>
        <sz val="10"/>
        <rFont val="Arial"/>
        <charset val="134"/>
      </rPr>
      <t>Ilim_1</t>
    </r>
    <r>
      <rPr>
        <sz val="10"/>
        <rFont val="Arial"/>
        <charset val="134"/>
      </rPr>
      <t xml:space="preserve"> (&lt; 450mA) for </t>
    </r>
    <r>
      <rPr>
        <b/>
        <sz val="10"/>
        <rFont val="Arial"/>
        <charset val="134"/>
      </rPr>
      <t>Tlim_1</t>
    </r>
    <r>
      <rPr>
        <sz val="10"/>
        <rFont val="Arial"/>
        <charset val="134"/>
      </rPr>
      <t xml:space="preserve"> (50-75 msec)
2= Voltage, current limited @ </t>
    </r>
    <r>
      <rPr>
        <b/>
        <sz val="10"/>
        <rFont val="Arial"/>
        <charset val="134"/>
      </rPr>
      <t>Ilim_1</t>
    </r>
    <r>
      <rPr>
        <sz val="10"/>
        <rFont val="Arial"/>
        <charset val="134"/>
      </rPr>
      <t xml:space="preserve"> (&lt; 450mA) for &gt; </t>
    </r>
    <r>
      <rPr>
        <b/>
        <sz val="10"/>
        <rFont val="Arial"/>
        <charset val="134"/>
      </rPr>
      <t xml:space="preserve">Tlim_1(max)
</t>
    </r>
    <r>
      <rPr>
        <sz val="10"/>
        <rFont val="Arial"/>
        <charset val="134"/>
      </rPr>
      <t xml:space="preserve">3= Voltage, current not limited @ </t>
    </r>
    <r>
      <rPr>
        <b/>
        <sz val="10"/>
        <rFont val="Arial"/>
        <charset val="134"/>
      </rPr>
      <t>Ilim_1</t>
    </r>
    <r>
      <rPr>
        <sz val="10"/>
        <rFont val="Arial"/>
        <charset val="134"/>
      </rPr>
      <t xml:space="preserve"> (&lt; 450mA) and/or no inrush shutdown
4= Voltage, current limited @ </t>
    </r>
    <r>
      <rPr>
        <b/>
        <sz val="10"/>
        <rFont val="Arial"/>
        <charset val="134"/>
      </rPr>
      <t xml:space="preserve">Ilim_1 </t>
    </r>
    <r>
      <rPr>
        <sz val="10"/>
        <rFont val="Arial"/>
        <charset val="134"/>
      </rPr>
      <t xml:space="preserve">(&lt; 450mA) + low voltage shutdown </t>
    </r>
  </si>
  <si>
    <r>
      <rPr>
        <i/>
        <sz val="10"/>
        <rFont val="Arial"/>
        <charset val="134"/>
      </rPr>
      <t xml:space="preserve">A PSE using the voltage method (legacy_powerup exception in 802.3at) will not necessarily limit inrush current to a PD that delays its inrush load by even just one millisecond.   This could damage a PD that is expecting inrush limiting.   If </t>
    </r>
    <r>
      <rPr>
        <b/>
        <i/>
        <sz val="10"/>
        <rFont val="Arial"/>
        <charset val="134"/>
      </rPr>
      <t>Inrush_Strategy_cN</t>
    </r>
    <r>
      <rPr>
        <i/>
        <sz val="10"/>
        <rFont val="Arial"/>
        <charset val="134"/>
      </rPr>
      <t xml:space="preserve"> is 1, the PSE is using Type-1 </t>
    </r>
    <r>
      <rPr>
        <b/>
        <i/>
        <sz val="10"/>
        <rFont val="Arial"/>
        <charset val="134"/>
      </rPr>
      <t>Ilim</t>
    </r>
    <r>
      <rPr>
        <i/>
        <sz val="10"/>
        <rFont val="Arial"/>
        <charset val="134"/>
      </rPr>
      <t xml:space="preserve"> and </t>
    </r>
    <r>
      <rPr>
        <b/>
        <i/>
        <sz val="10"/>
        <rFont val="Arial"/>
        <charset val="134"/>
      </rPr>
      <t>Tlim</t>
    </r>
    <r>
      <rPr>
        <i/>
        <sz val="10"/>
        <rFont val="Arial"/>
        <charset val="134"/>
      </rPr>
      <t xml:space="preserve"> to produce a shutdown after 50 msec and before 75 msec while limiting to 450mA or less, so this is almost as good as the recommended </t>
    </r>
    <r>
      <rPr>
        <b/>
        <i/>
        <sz val="10"/>
        <rFont val="Arial"/>
        <charset val="134"/>
      </rPr>
      <t>Tinrush</t>
    </r>
    <r>
      <rPr>
        <i/>
        <sz val="10"/>
        <rFont val="Arial"/>
        <charset val="134"/>
      </rPr>
      <t xml:space="preserve"> processing.  Values 2 and 3 produce INFO warnings as they risk damage to a PD.   Value 4 produces INFO warning as it may prohibit PD powering.</t>
    </r>
  </si>
  <si>
    <t xml:space="preserve">Test: pwron_v                       </t>
  </si>
  <si>
    <t xml:space="preserve">                Vport_min_n=</t>
  </si>
  <si>
    <t>Minimum DC Port Voltage measured with minimum and maximum Port Loading for Type "n" PD emulation</t>
  </si>
  <si>
    <t>Section 5.7</t>
  </si>
  <si>
    <t xml:space="preserve">                Vport_max_n=</t>
  </si>
  <si>
    <t>Maximum DC Port Voltage measured with minimum and maximum Port Loading for Type "n" PD emulation</t>
  </si>
  <si>
    <t xml:space="preserve">             Vport_ripple_n=</t>
  </si>
  <si>
    <t>Maximum AC Ripple (20Hz - 500Hz) Vpp measured with minimum and maximum Port Loading for Type "n" PD emulation</t>
  </si>
  <si>
    <r>
      <rPr>
        <i/>
        <sz val="10"/>
        <rFont val="Arial"/>
        <charset val="134"/>
      </rPr>
      <t xml:space="preserve">Goal is to detect line voltage ripple and AC MPS signaling components below 400 Hz.  </t>
    </r>
    <r>
      <rPr>
        <i/>
        <sz val="10"/>
        <color indexed="10"/>
        <rFont val="Arial"/>
        <charset val="134"/>
      </rPr>
      <t>NOTE: A "-1" reading indicates a possible hardware failure and should be reported to Sifos Technologies.</t>
    </r>
  </si>
  <si>
    <t xml:space="preserve">              Vport_noise_n=</t>
  </si>
  <si>
    <t>Maximum AC Noise (10KHz - 350KHz) Vpp measured with minimum and maximum Port Loading for Type "n" PD emulation</t>
  </si>
  <si>
    <r>
      <rPr>
        <i/>
        <sz val="10"/>
        <rFont val="Arial"/>
        <charset val="134"/>
      </rPr>
      <t xml:space="preserve">Goal is to assess noise from DC-DC power conversion components in the 2KHz - 400KHz band.  </t>
    </r>
    <r>
      <rPr>
        <i/>
        <sz val="10"/>
        <color indexed="10"/>
        <rFont val="Arial"/>
        <charset val="134"/>
      </rPr>
      <t>NOTE: A "-1" reading indicates a possible hardware failure and should be reported to Sifos Technologies.</t>
    </r>
  </si>
  <si>
    <t xml:space="preserve">               Vtrans_min_n=</t>
  </si>
  <si>
    <t>Minimum Port Voltage measured during a rapid (&lt; 5 msec) load excursion between ~ .5W to Pclass and back</t>
  </si>
  <si>
    <t>Sampled at ~ 40 usec periodicity.  When testing Type-2 PSE's, transient voltage samples following a 250 usec "Ktran_lo" duration are evaluated for Vport_min (50V) criteria.</t>
  </si>
  <si>
    <t xml:space="preserve">               Vtrans_max_n=</t>
  </si>
  <si>
    <t>Maximum Port Voltage measured during a rapid (&lt; 5 msec) load excursion between ~ .5W to Pclass and back</t>
  </si>
  <si>
    <t xml:space="preserve">Test: pwron_pwrcap                  </t>
  </si>
  <si>
    <t>PSE Power Capacity to a Class 0 PD</t>
  </si>
  <si>
    <t>Type-1 PSE's are tested with PD Class 0-3 emulations to assess if power is restricted to allowable levels give PD classification (i.e. power "policing").   Type-2 PSE's should be tested in the 15.4W mode to assess these behaviors.   The power output, Pclass, required from a PSE port is calculated as as function of PSE port voltage at full load capacity using IEEE 802.3at equation 33-3.  The load current at full capacity is then ratio'd to Pclass / Vport_pse to produce Icon_%.</t>
  </si>
  <si>
    <t>Load Current Capacity Ratio to Icon = Pclass / Vport_pse to Class 0 PD</t>
  </si>
  <si>
    <t>PSE Power Capacity to a Class 1 PD</t>
  </si>
  <si>
    <t>Load Current Capacity Ratio to Icon = Pclass / Vport_pse to Class 1 PD</t>
  </si>
  <si>
    <t>PSE Power Capacity to a Class 2 PD</t>
  </si>
  <si>
    <t>Load Current Capacity Ratio to Icon = Pclass / Vport_pse to Class 2 PD</t>
  </si>
  <si>
    <t>PSE Power Capacity to a Class 3 PD</t>
  </si>
  <si>
    <t>Load Current Capacity Ratio to Icon = Pclass / Vport_pse to Class 3 PD</t>
  </si>
  <si>
    <t>PSE Power Capacity to a Class 4 PD</t>
  </si>
  <si>
    <t>Test will return only Class 4 power capacity when run with 30W (Type-2) power mode.</t>
  </si>
  <si>
    <t>Load Current Capacity Ratio to Icon = Pclass / Vport_pse to Class 4 PD</t>
  </si>
  <si>
    <t>Verify that Class 4 Power is available 80 msec following a PHY (or 2-Event) power grant.  1= "AVAILABLE", 0= "NOT AVAILABLE"</t>
  </si>
  <si>
    <t>Only tested given 30W PSE's.  PSE must make 30W available within 80 msec of power-up if 30W Grant is "PHY" and should not allow 30W power within 80msec if 30W Grant is "LLDP".</t>
  </si>
  <si>
    <t xml:space="preserve">Indicator as to whether the PSE supported a Pclass_pse power level following a 22.7 watt LLDP power allocation.  0= FAIL, 1= PASS.  </t>
  </si>
  <si>
    <t>Purpose is to search for flaws in LLDP power allocation algorithms.  Value will be -1 for non-LLDP granting PSE's, when testing with Type-1 PD emulation, and if PSE fails to allocate requested power.</t>
  </si>
  <si>
    <t xml:space="preserve">Indicator as to whether the PSE supported a Pclass_pse power level following a 24.5 watt LLDP power allocation.  0= FAIL, 1= PASS.  </t>
  </si>
  <si>
    <t xml:space="preserve">Test: pwron_maxi                    </t>
  </si>
  <si>
    <t>Maximum output current over 8-75msec from PSE given a 1.95A load pulse with foldback suppression applied.  PSE must limit to &lt; 1.75A.</t>
  </si>
  <si>
    <t>Ilim is completely redefined in 802.3at to represent a MINIMUM transient current level that a PSE port must support for a minimum duration of Tlim_Min.  For Type-1 PSE's (Type-1 PD emulation), the PSE must support 400mA for 50 msec.   For Type-2 PSE's, the PSE must support 684 mA for 10 msec assuming port voltage does not drop below Vpse_min.   Given these loads, the PSE should support a port voltage of Vpse_min or higher.</t>
  </si>
  <si>
    <t xml:space="preserve">                 Ilim_Min_n=</t>
  </si>
  <si>
    <t>Minimum load current available given 50msec, (Ilim_Min+2mA) load pulse with foldback suppression applied given Type "n" PD.</t>
  </si>
  <si>
    <t xml:space="preserve">                     Tlim_n=</t>
  </si>
  <si>
    <t>Time until power removal given an Ilim_Min load pulse (no foldback suppression)</t>
  </si>
  <si>
    <t xml:space="preserve">                     Vlim_n=</t>
  </si>
  <si>
    <t>Port Voltage measured during Ilim_Min load pulse (no foldback suppression)</t>
  </si>
  <si>
    <t xml:space="preserve">                 Ilim_Max_n=</t>
  </si>
  <si>
    <t xml:space="preserve">Peak output current from 1 to 75 msec given a &gt; Ilim_Min (700mA - 1000mA) load pulse using foldback suppression.  </t>
  </si>
  <si>
    <t>Informational only, no limits.</t>
  </si>
  <si>
    <t xml:space="preserve">           Ilim_Low_V_Tol_n=</t>
  </si>
  <si>
    <t>Time until power removal given a 100msec load pulse including max transition band current (no foldback suppression).    Load pulse magnitude is 460mA for Type-1 and 1000mA for Type-2 mode testing.</t>
  </si>
  <si>
    <t>Informational only, no limits.   Evaluating to see if PSE removes power immediately with low voltage condition that accompanies current limiting.</t>
  </si>
  <si>
    <t xml:space="preserve">                   Ktran_lo=</t>
  </si>
  <si>
    <t xml:space="preserve">Excursion below 50V given a 250usec, 686mA load pulse when testing Type-2 PSE's.  </t>
  </si>
  <si>
    <t>Type-2 PSE should regulate voltage to stay above 92.4% of Vpse_min, or 46.2V given described transient.</t>
  </si>
  <si>
    <t xml:space="preserve">                   %Ipeak_n=</t>
  </si>
  <si>
    <t>The % relative to Ipeak current that the PSE will support in a load transient of at least 50msec duration (Tovld_min) given Type-"n" PD emulation.</t>
  </si>
  <si>
    <t>Must support at least 100% of Ipeak for 50 msec.  Ipeak computed from formula 33-4.</t>
  </si>
  <si>
    <t xml:space="preserve">              Vport_Ipeak_n=</t>
  </si>
  <si>
    <t>Minimum port voltage measured during the I= Ipeak transient load pulse given Type-"n" PD emulation.</t>
  </si>
  <si>
    <r>
      <rPr>
        <i/>
        <sz val="10"/>
        <rFont val="Arial"/>
        <charset val="134"/>
      </rPr>
      <t xml:space="preserve">Port voltage must be </t>
    </r>
    <r>
      <rPr>
        <i/>
        <u/>
        <sz val="10"/>
        <rFont val="Arial"/>
        <charset val="134"/>
      </rPr>
      <t>&gt;</t>
    </r>
    <r>
      <rPr>
        <i/>
        <sz val="10"/>
        <rFont val="Arial"/>
        <charset val="134"/>
      </rPr>
      <t xml:space="preserve"> Vpse_min</t>
    </r>
  </si>
  <si>
    <t xml:space="preserve">               Vport_5%DC_n=</t>
  </si>
  <si>
    <t>Minimum port voltage measured with 50msec Ipeak transient loads applied once per second over a 10 second interval given Type-"n" PD emulation.</t>
  </si>
  <si>
    <t>Maximum time over which a PSE can decide to reset it's Tmpdo timer given a VALID DC MPS load level.</t>
  </si>
  <si>
    <t>The description in the 802.3at standard is vague and requires careful inspection to intepret properly.  Tmps is presented as a "MINIMUM" limit which makes sense from the PD point of view but is not as clear from the PSE point of view.  Use "Show Traces" to witness the minimum required "on" time.</t>
  </si>
  <si>
    <t>Assesses PSE maintain power status (Vport) with a multi-cycling DC MPS valid/non-valid load with 20% "on" duty-cycle using 25mA valid load and Tmps_Min "on" times.</t>
  </si>
  <si>
    <t>PSE should maintain power continuously - 5 off/on cycles sequenced.  Use "Show Traces" to witness the duty cycle.</t>
  </si>
  <si>
    <t>Low Current Threshold Required to Force PSE Shut-Down</t>
  </si>
  <si>
    <t>Time Duration from PD Disconnect Until Power-Down Initiated (DC MPS)</t>
  </si>
  <si>
    <t>Max port signaling voltage following disconnect power-down</t>
  </si>
  <si>
    <t>This parameter is not specified explicitly for DC MPS as it is for AC MPS, however implicitly, this voltage should not exceed Voc.</t>
  </si>
  <si>
    <t xml:space="preserve">                     Icut_n=</t>
  </si>
  <si>
    <r>
      <rPr>
        <sz val="10"/>
        <rFont val="Arial"/>
        <charset val="134"/>
      </rPr>
      <t>Minumum sub-</t>
    </r>
    <r>
      <rPr>
        <b/>
        <sz val="10"/>
        <rFont val="Arial"/>
        <charset val="134"/>
      </rPr>
      <t>Ilim(n)</t>
    </r>
    <r>
      <rPr>
        <sz val="10"/>
        <rFont val="Arial"/>
        <charset val="134"/>
      </rPr>
      <t xml:space="preserve"> load current causing power-down for Type-"n" PD Emulation given a 75 msec transient pulse and Type-"n" PD emulation.</t>
    </r>
  </si>
  <si>
    <r>
      <rPr>
        <i/>
        <sz val="10"/>
        <rFont val="Arial"/>
        <charset val="134"/>
      </rPr>
      <t xml:space="preserve">Qualifying shutdowns must occur during or shortly after 75msec transient duration.   Under-powered PSE's will report a NEGATIVE </t>
    </r>
    <r>
      <rPr>
        <b/>
        <i/>
        <sz val="10"/>
        <rFont val="Arial"/>
        <charset val="134"/>
      </rPr>
      <t>Icut_n</t>
    </r>
    <r>
      <rPr>
        <i/>
        <sz val="10"/>
        <rFont val="Arial"/>
        <charset val="134"/>
      </rPr>
      <t xml:space="preserve"> value.  Report '-1' if </t>
    </r>
    <r>
      <rPr>
        <b/>
        <i/>
        <sz val="10"/>
        <rFont val="Arial"/>
        <charset val="134"/>
      </rPr>
      <t>Icut_n</t>
    </r>
    <r>
      <rPr>
        <i/>
        <sz val="10"/>
        <rFont val="Arial"/>
        <charset val="134"/>
      </rPr>
      <t xml:space="preserve"> not found below </t>
    </r>
    <r>
      <rPr>
        <b/>
        <i/>
        <sz val="10"/>
        <rFont val="Arial"/>
        <charset val="134"/>
      </rPr>
      <t xml:space="preserve">Ilim_Min </t>
    </r>
    <r>
      <rPr>
        <i/>
        <sz val="10"/>
        <rFont val="Arial"/>
        <charset val="134"/>
      </rPr>
      <t xml:space="preserve">for Type </t>
    </r>
    <r>
      <rPr>
        <b/>
        <i/>
        <sz val="10"/>
        <rFont val="Arial"/>
        <charset val="134"/>
      </rPr>
      <t>n</t>
    </r>
    <r>
      <rPr>
        <i/>
        <sz val="10"/>
        <rFont val="Arial"/>
        <charset val="134"/>
      </rPr>
      <t>.</t>
    </r>
  </si>
  <si>
    <t>Section 5.9</t>
  </si>
  <si>
    <t xml:space="preserve">                     Tcut_n=</t>
  </si>
  <si>
    <r>
      <rPr>
        <sz val="10"/>
        <rFont val="Arial"/>
        <charset val="134"/>
      </rPr>
      <t xml:space="preserve">Time from start of </t>
    </r>
    <r>
      <rPr>
        <b/>
        <sz val="10"/>
        <rFont val="Arial"/>
        <charset val="134"/>
      </rPr>
      <t>Icut_n</t>
    </r>
    <r>
      <rPr>
        <sz val="10"/>
        <rFont val="Arial"/>
        <charset val="134"/>
      </rPr>
      <t xml:space="preserve"> load transient until port shutdown - will be capped at duration of the </t>
    </r>
    <r>
      <rPr>
        <b/>
        <sz val="10"/>
        <rFont val="Arial"/>
        <charset val="134"/>
      </rPr>
      <t>Icut_n</t>
    </r>
    <r>
      <rPr>
        <sz val="10"/>
        <rFont val="Arial"/>
        <charset val="134"/>
      </rPr>
      <t xml:space="preserve"> load transient even if the shutdown occurs up to 2 seconds following the start of transient.</t>
    </r>
  </si>
  <si>
    <r>
      <rPr>
        <i/>
        <sz val="10"/>
        <rFont val="Arial"/>
        <charset val="134"/>
      </rPr>
      <t xml:space="preserve">Given an </t>
    </r>
    <r>
      <rPr>
        <b/>
        <i/>
        <sz val="10"/>
        <rFont val="Arial"/>
        <charset val="134"/>
      </rPr>
      <t xml:space="preserve">Icut </t>
    </r>
    <r>
      <rPr>
        <i/>
        <sz val="10"/>
        <rFont val="Arial"/>
        <charset val="134"/>
      </rPr>
      <t xml:space="preserve">shutdown, </t>
    </r>
    <r>
      <rPr>
        <b/>
        <i/>
        <sz val="10"/>
        <rFont val="Arial"/>
        <charset val="134"/>
      </rPr>
      <t>Tcut</t>
    </r>
    <r>
      <rPr>
        <i/>
        <sz val="10"/>
        <rFont val="Arial"/>
        <charset val="134"/>
      </rPr>
      <t xml:space="preserve"> will always fall between 0 and 75 msec.   Reports 9999 no </t>
    </r>
    <r>
      <rPr>
        <b/>
        <i/>
        <sz val="10"/>
        <rFont val="Arial"/>
        <charset val="134"/>
      </rPr>
      <t>Icut</t>
    </r>
    <r>
      <rPr>
        <i/>
        <sz val="10"/>
        <rFont val="Arial"/>
        <charset val="134"/>
      </rPr>
      <t xml:space="preserve"> shutdown produced.   Allows for PSE's that measure elapsed time </t>
    </r>
    <r>
      <rPr>
        <b/>
        <i/>
        <sz val="10"/>
        <rFont val="Arial"/>
        <charset val="134"/>
      </rPr>
      <t>Tcut</t>
    </r>
    <r>
      <rPr>
        <i/>
        <sz val="10"/>
        <rFont val="Arial"/>
        <charset val="134"/>
      </rPr>
      <t xml:space="preserve"> over a longer time window.</t>
    </r>
  </si>
  <si>
    <t xml:space="preserve">                    Isoft_n=</t>
  </si>
  <si>
    <r>
      <rPr>
        <sz val="10"/>
        <rFont val="Arial"/>
        <charset val="134"/>
      </rPr>
      <t xml:space="preserve">Minumum load current up to or marginally exceeding </t>
    </r>
    <r>
      <rPr>
        <b/>
        <sz val="10"/>
        <rFont val="Arial"/>
        <charset val="134"/>
      </rPr>
      <t>Ilim_min</t>
    </r>
    <r>
      <rPr>
        <sz val="10"/>
        <rFont val="Arial"/>
        <charset val="134"/>
      </rPr>
      <t xml:space="preserve"> that causes a shutdown for Type-"n" PD Emulation given a 2 second transient pulse and Type-"n" PD emulation.</t>
    </r>
  </si>
  <si>
    <r>
      <rPr>
        <i/>
        <sz val="10"/>
        <rFont val="Arial"/>
        <charset val="134"/>
      </rPr>
      <t xml:space="preserve">This measurement determines if PSE is likely invoking a firmware managed overload shutdown decision process.  Underpowered PSE's will report a NEGATIVE </t>
    </r>
    <r>
      <rPr>
        <b/>
        <i/>
        <sz val="10"/>
        <rFont val="Arial"/>
        <charset val="134"/>
      </rPr>
      <t>Isoft_n</t>
    </r>
    <r>
      <rPr>
        <i/>
        <sz val="10"/>
        <rFont val="Arial"/>
        <charset val="134"/>
      </rPr>
      <t xml:space="preserve"> value.  </t>
    </r>
    <r>
      <rPr>
        <b/>
        <i/>
        <sz val="10"/>
        <rFont val="Arial"/>
        <charset val="134"/>
      </rPr>
      <t>Tsoft_n</t>
    </r>
    <r>
      <rPr>
        <i/>
        <sz val="10"/>
        <rFont val="Arial"/>
        <charset val="134"/>
      </rPr>
      <t xml:space="preserve"> can range up to 4 seconds.  Reports -1 for </t>
    </r>
    <r>
      <rPr>
        <b/>
        <i/>
        <sz val="10"/>
        <rFont val="Arial"/>
        <charset val="134"/>
      </rPr>
      <t>Isoft</t>
    </r>
    <r>
      <rPr>
        <i/>
        <sz val="10"/>
        <rFont val="Arial"/>
        <charset val="134"/>
      </rPr>
      <t xml:space="preserve"> and </t>
    </r>
    <r>
      <rPr>
        <b/>
        <i/>
        <sz val="10"/>
        <rFont val="Arial"/>
        <charset val="134"/>
      </rPr>
      <t>Tsoft</t>
    </r>
    <r>
      <rPr>
        <i/>
        <sz val="10"/>
        <rFont val="Arial"/>
        <charset val="134"/>
      </rPr>
      <t xml:space="preserve"> if </t>
    </r>
    <r>
      <rPr>
        <b/>
        <i/>
        <sz val="10"/>
        <rFont val="Arial"/>
        <charset val="134"/>
      </rPr>
      <t>Isoft</t>
    </r>
    <r>
      <rPr>
        <i/>
        <sz val="10"/>
        <rFont val="Arial"/>
        <charset val="134"/>
      </rPr>
      <t xml:space="preserve"> is not found.</t>
    </r>
  </si>
  <si>
    <t xml:space="preserve">                    Tsoft_n=</t>
  </si>
  <si>
    <r>
      <rPr>
        <sz val="10"/>
        <rFont val="Arial"/>
        <charset val="134"/>
      </rPr>
      <t xml:space="preserve">Time from start of </t>
    </r>
    <r>
      <rPr>
        <b/>
        <sz val="10"/>
        <rFont val="Arial"/>
        <charset val="134"/>
      </rPr>
      <t>Isoft_n</t>
    </r>
    <r>
      <rPr>
        <sz val="10"/>
        <rFont val="Arial"/>
        <charset val="134"/>
      </rPr>
      <t xml:space="preserve"> load transient until port shutdown - will be capped at duration of the </t>
    </r>
    <r>
      <rPr>
        <b/>
        <sz val="10"/>
        <rFont val="Arial"/>
        <charset val="134"/>
      </rPr>
      <t>Isoft_n</t>
    </r>
    <r>
      <rPr>
        <sz val="10"/>
        <rFont val="Arial"/>
        <charset val="134"/>
      </rPr>
      <t xml:space="preserve"> load transient even if the shutdown occurs up to 2 seconds following the start of transient.</t>
    </r>
  </si>
  <si>
    <t>Turn-Off Time  (Assuming Effective 320 Kohm PD Load)</t>
  </si>
  <si>
    <t>Effective PSE Port Output Capacitance During Power-Down</t>
  </si>
  <si>
    <t>Cout measurement is accurate to approximately .1 uF.</t>
  </si>
  <si>
    <t>Effective PSE Shunt Port Resistance During Power-Down. This will generally be the same as Rrev in the 802.3at specification.</t>
  </si>
  <si>
    <t>Rp approximates PSE resistive discharge load during PSE port power-down.  It is very possible, but not certain, that this could equate to Rrev which is specified to be &gt; 45Kohm.  The measurement is accurate to approximately 3 Kohms.</t>
  </si>
  <si>
    <t>Average IDLE State Voltage Following Power-Down</t>
  </si>
  <si>
    <t>Time from an overload shutdown until the next power-up is enabled.</t>
  </si>
  <si>
    <t>802.3af Maintenance Request 1117 redfined error delay processing to allow detection and classification during the error delay interval so long as power-up is inhibited.  The 802.3at PSE state machine tests Ted now after Classification Evaluation.</t>
  </si>
  <si>
    <t>Peak PSE Port Voltage during Error Delay time interval preceding final detection leading to the next power-up.   Acts as indicator of a PSE that does detection and classification during Ted.</t>
  </si>
  <si>
    <t>Time Duration from PD Disconnect Until Power-Down Initiated (AC MPS)</t>
  </si>
  <si>
    <t>Section 5.8</t>
  </si>
  <si>
    <t>DC Load Current Required To Enable AC MPS Power-Down</t>
  </si>
  <si>
    <t>Must be 0 mA in 4.x.x Test Suite, up to 10mA allowed in 3.x.x Test Suite</t>
  </si>
  <si>
    <t>Pk-Pk AC Voltage Following PD Disconnect</t>
  </si>
  <si>
    <t>Pk-Pk AC Voltage reported as a % of Vport</t>
  </si>
  <si>
    <t>AC MPS Signal Frequency</t>
  </si>
  <si>
    <t>Peak AC MPS Signal Slew Rate</t>
  </si>
  <si>
    <t>Approximate Current Compliance (Limit) Associated with AC MPS Signal</t>
  </si>
  <si>
    <t>Peak Port Voltage Measured Following PSE Shut-Down</t>
  </si>
  <si>
    <t>Peak Absolute Voltage Measured Following PD Disconnect</t>
  </si>
  <si>
    <t>802.3at Conformance Report</t>
  </si>
  <si>
    <t xml:space="preserve">Sifos PSE Interop Index*:  </t>
  </si>
  <si>
    <t>Tests Run:</t>
  </si>
  <si>
    <t>Total Parameters:</t>
  </si>
  <si>
    <t>Deduct</t>
  </si>
  <si>
    <t>Interoperability Test Items</t>
  </si>
  <si>
    <t>Points</t>
  </si>
  <si>
    <t>Pass</t>
  </si>
  <si>
    <t>Info</t>
  </si>
  <si>
    <t>Fail</t>
  </si>
  <si>
    <t>Sifos PSE Interop Index Defined</t>
  </si>
  <si>
    <r>
      <rPr>
        <sz val="10"/>
        <color theme="3"/>
        <rFont val="Arial"/>
        <charset val="134"/>
      </rPr>
      <t xml:space="preserve">The Sifos Interop Index is a aggregate summary derived from PSE Conformance Testing Results.   The index only considers those PSE characteristics that </t>
    </r>
    <r>
      <rPr>
        <b/>
        <sz val="10"/>
        <color theme="3"/>
        <rFont val="Arial"/>
        <charset val="134"/>
      </rPr>
      <t>may</t>
    </r>
    <r>
      <rPr>
        <sz val="10"/>
        <color theme="3"/>
        <rFont val="Arial"/>
        <charset val="134"/>
      </rPr>
      <t xml:space="preserve"> affect PSE inter-operation with: </t>
    </r>
  </si>
  <si>
    <t xml:space="preserve">1) All possible 802.3at compliant PD's </t>
  </si>
  <si>
    <t>2) Non-Compliant 802.3at PD's that that would successfully inter-operate 802.3at PSE's that fully meet all PSE specifications.</t>
  </si>
  <si>
    <t>PSE Conformance Test parameters are individually weighted with values of 5, 3, 1, or 0 depending upon impact to PD interoperation.   Many Conformance Test parameters have no impact on PD Interoperation meaning those parameters will not affect the Interop Index.  Conversely, parameters such as port power capacity, output voltage, and signaling levels all weigh heavily into the Interop Index.  The weightings by parameter are included with the Limits section of this document.</t>
  </si>
  <si>
    <r>
      <rPr>
        <sz val="10"/>
        <color theme="3"/>
        <rFont val="Arial"/>
        <charset val="134"/>
      </rPr>
      <t xml:space="preserve">The Interop Index should </t>
    </r>
    <r>
      <rPr>
        <b/>
        <sz val="10"/>
        <color theme="3"/>
        <rFont val="Arial"/>
        <charset val="134"/>
      </rPr>
      <t xml:space="preserve">not </t>
    </r>
    <r>
      <rPr>
        <sz val="10"/>
        <color theme="3"/>
        <rFont val="Arial"/>
        <charset val="134"/>
      </rPr>
      <t>be interpreted as a probability or percentage of PD's that will operate with this PSE.  Instead, it is simply an aggregate score of performance developed from the test data collected on the Loop1 page of this report.  It will be influenced therefore by what tests are run and by how many ports are tested.</t>
    </r>
  </si>
</sst>
</file>

<file path=xl/styles.xml><?xml version="1.0" encoding="utf-8"?>
<styleSheet xmlns="http://schemas.openxmlformats.org/spreadsheetml/2006/main">
  <numFmts count="8">
    <numFmt numFmtId="44" formatCode="_-&quot;$&quot;* #,##0.00_-;\-&quot;$&quot;* #,##0.00_-;_-&quot;$&quot;* &quot;-&quot;??_-;_-@_-"/>
    <numFmt numFmtId="42" formatCode="_-&quot;$&quot;* #,##0_-;\-&quot;$&quot;* #,##0_-;_-&quot;$&quot;* &quot;-&quot;_-;_-@_-"/>
    <numFmt numFmtId="41" formatCode="_-* #,##0_-;\-* #,##0_-;_-* &quot;-&quot;_-;_-@_-"/>
    <numFmt numFmtId="43" formatCode="_-* #,##0.00_-;\-* #,##0.00_-;_-* &quot;-&quot;??_-;_-@_-"/>
    <numFmt numFmtId="176" formatCode="hh:mm\ AM/PM"/>
    <numFmt numFmtId="177" formatCode="mmmm\ d\,\ yyyy"/>
    <numFmt numFmtId="178" formatCode="0.0%"/>
    <numFmt numFmtId="179" formatCode="[$-409]h:mm\ AM/PM;@"/>
  </numFmts>
  <fonts count="80">
    <font>
      <sz val="10"/>
      <name val="Arial"/>
      <charset val="134"/>
    </font>
    <font>
      <b/>
      <sz val="14"/>
      <color indexed="9"/>
      <name val="Arial"/>
      <charset val="134"/>
    </font>
    <font>
      <b/>
      <sz val="11"/>
      <color indexed="9"/>
      <name val="Arial"/>
      <charset val="134"/>
    </font>
    <font>
      <b/>
      <sz val="9"/>
      <color indexed="9"/>
      <name val="Arial"/>
      <charset val="134"/>
    </font>
    <font>
      <b/>
      <sz val="10"/>
      <color theme="7" tint="0.799981688894314"/>
      <name val="Arial"/>
      <charset val="134"/>
    </font>
    <font>
      <sz val="10"/>
      <color theme="7" tint="0.799981688894314"/>
      <name val="Arial"/>
      <charset val="134"/>
    </font>
    <font>
      <b/>
      <sz val="26"/>
      <color theme="7" tint="0.799981688894314"/>
      <name val="Arial"/>
      <charset val="134"/>
    </font>
    <font>
      <b/>
      <sz val="10"/>
      <color indexed="26"/>
      <name val="Arial"/>
      <charset val="134"/>
    </font>
    <font>
      <i/>
      <sz val="10"/>
      <color theme="7" tint="0.799981688894314"/>
      <name val="Arial"/>
      <charset val="134"/>
    </font>
    <font>
      <b/>
      <sz val="12"/>
      <name val="Arial"/>
      <charset val="134"/>
    </font>
    <font>
      <b/>
      <sz val="11"/>
      <name val="Arial"/>
      <charset val="134"/>
    </font>
    <font>
      <b/>
      <sz val="12"/>
      <color indexed="9"/>
      <name val="Arial"/>
      <charset val="134"/>
    </font>
    <font>
      <sz val="10"/>
      <color indexed="9"/>
      <name val="Arial"/>
      <charset val="134"/>
    </font>
    <font>
      <sz val="10"/>
      <color theme="3"/>
      <name val="Arial"/>
      <charset val="134"/>
    </font>
    <font>
      <i/>
      <sz val="10"/>
      <color indexed="44"/>
      <name val="Arial"/>
      <charset val="134"/>
    </font>
    <font>
      <i/>
      <sz val="10"/>
      <color theme="4" tint="0.799981688894314"/>
      <name val="Arial"/>
      <charset val="134"/>
    </font>
    <font>
      <sz val="10"/>
      <color indexed="44"/>
      <name val="Arial"/>
      <charset val="134"/>
    </font>
    <font>
      <b/>
      <sz val="14"/>
      <color rgb="FFFFFFFF"/>
      <name val="Arial"/>
      <charset val="134"/>
    </font>
    <font>
      <b/>
      <sz val="11"/>
      <color rgb="FFFFFFFF"/>
      <name val="Arial"/>
      <charset val="134"/>
    </font>
    <font>
      <b/>
      <sz val="10"/>
      <color theme="3"/>
      <name val="Arial"/>
      <charset val="134"/>
    </font>
    <font>
      <sz val="10"/>
      <name val="Courier New"/>
      <charset val="134"/>
    </font>
    <font>
      <i/>
      <sz val="10"/>
      <name val="Arial"/>
      <charset val="134"/>
    </font>
    <font>
      <b/>
      <sz val="16"/>
      <name val="Arial"/>
      <charset val="134"/>
    </font>
    <font>
      <b/>
      <sz val="18"/>
      <name val="Arial"/>
      <charset val="134"/>
    </font>
    <font>
      <b/>
      <sz val="10"/>
      <color indexed="18"/>
      <name val="Arial"/>
      <charset val="134"/>
    </font>
    <font>
      <b/>
      <sz val="11"/>
      <color theme="2"/>
      <name val="Arial"/>
      <charset val="134"/>
    </font>
    <font>
      <b/>
      <sz val="10"/>
      <color rgb="FFFFFFFF"/>
      <name val="Arial"/>
      <charset val="134"/>
    </font>
    <font>
      <sz val="10"/>
      <color rgb="FFFFFFFF"/>
      <name val="Arial"/>
      <charset val="134"/>
    </font>
    <font>
      <sz val="10"/>
      <name val="Symbol"/>
      <charset val="2"/>
    </font>
    <font>
      <b/>
      <sz val="10"/>
      <name val="Arial"/>
      <charset val="134"/>
    </font>
    <font>
      <b/>
      <sz val="12"/>
      <color theme="3"/>
      <name val="Arial"/>
      <charset val="134"/>
    </font>
    <font>
      <b/>
      <sz val="14"/>
      <color theme="3"/>
      <name val="Arial"/>
      <charset val="134"/>
    </font>
    <font>
      <sz val="10"/>
      <color indexed="22"/>
      <name val="Arial"/>
      <charset val="134"/>
    </font>
    <font>
      <i/>
      <sz val="10"/>
      <color indexed="22"/>
      <name val="Arial"/>
      <charset val="134"/>
    </font>
    <font>
      <b/>
      <sz val="10"/>
      <color theme="0" tint="0.799981688894314"/>
      <name val="Arial"/>
      <charset val="134"/>
    </font>
    <font>
      <b/>
      <sz val="11"/>
      <color theme="7" tint="0.799981688894314"/>
      <name val="Arial"/>
      <charset val="134"/>
    </font>
    <font>
      <sz val="10"/>
      <color theme="0" tint="0.799981688894314"/>
      <name val="Arial"/>
      <charset val="134"/>
    </font>
    <font>
      <b/>
      <sz val="12"/>
      <color theme="7" tint="0.799981688894314"/>
      <name val="Arial"/>
      <charset val="134"/>
    </font>
    <font>
      <b/>
      <sz val="12"/>
      <color rgb="FFFFFFFF"/>
      <name val="Arial"/>
      <charset val="134"/>
    </font>
    <font>
      <i/>
      <sz val="10"/>
      <color theme="5"/>
      <name val="Arial"/>
      <charset val="134"/>
    </font>
    <font>
      <sz val="10"/>
      <color theme="0"/>
      <name val="Arial"/>
      <charset val="134"/>
    </font>
    <font>
      <sz val="10"/>
      <color indexed="23"/>
      <name val="Arial"/>
      <charset val="134"/>
    </font>
    <font>
      <sz val="10"/>
      <color theme="0" tint="0.599993896298105"/>
      <name val="Arial"/>
      <charset val="134"/>
    </font>
    <font>
      <sz val="10"/>
      <color rgb="FFFF0000"/>
      <name val="Arial"/>
      <charset val="134"/>
    </font>
    <font>
      <b/>
      <sz val="10"/>
      <color theme="2"/>
      <name val="Arial"/>
      <charset val="134"/>
    </font>
    <font>
      <i/>
      <sz val="10"/>
      <color indexed="10"/>
      <name val="Arial"/>
      <charset val="134"/>
    </font>
    <font>
      <i/>
      <sz val="10"/>
      <color rgb="FFC00000"/>
      <name val="Arial"/>
      <charset val="134"/>
    </font>
    <font>
      <b/>
      <sz val="10"/>
      <color rgb="FFC00000"/>
      <name val="Arial"/>
      <charset val="134"/>
    </font>
    <font>
      <sz val="10"/>
      <color theme="8" tint="-0.249977111117893"/>
      <name val="Arial"/>
      <charset val="134"/>
    </font>
    <font>
      <i/>
      <sz val="10"/>
      <color theme="0" tint="0.599993896298105"/>
      <name val="Arial"/>
      <charset val="134"/>
    </font>
    <font>
      <sz val="12"/>
      <color theme="1"/>
      <name val="新細明體"/>
      <charset val="134"/>
      <scheme val="minor"/>
    </font>
    <font>
      <u/>
      <sz val="11"/>
      <color rgb="FF800080"/>
      <name val="新細明體"/>
      <charset val="0"/>
      <scheme val="minor"/>
    </font>
    <font>
      <b/>
      <sz val="18"/>
      <color theme="3"/>
      <name val="新細明體"/>
      <charset val="134"/>
      <scheme val="minor"/>
    </font>
    <font>
      <u/>
      <sz val="11"/>
      <color rgb="FF0000FF"/>
      <name val="新細明體"/>
      <charset val="0"/>
      <scheme val="minor"/>
    </font>
    <font>
      <sz val="11"/>
      <color theme="0"/>
      <name val="新細明體"/>
      <charset val="0"/>
      <scheme val="minor"/>
    </font>
    <font>
      <sz val="11"/>
      <color rgb="FFFA7D00"/>
      <name val="新細明體"/>
      <charset val="0"/>
      <scheme val="minor"/>
    </font>
    <font>
      <sz val="11"/>
      <color theme="1"/>
      <name val="新細明體"/>
      <charset val="0"/>
      <scheme val="minor"/>
    </font>
    <font>
      <sz val="11"/>
      <color rgb="FF9C0006"/>
      <name val="新細明體"/>
      <charset val="0"/>
      <scheme val="minor"/>
    </font>
    <font>
      <b/>
      <sz val="11"/>
      <color theme="1"/>
      <name val="新細明體"/>
      <charset val="0"/>
      <scheme val="minor"/>
    </font>
    <font>
      <b/>
      <sz val="11"/>
      <color theme="3"/>
      <name val="新細明體"/>
      <charset val="134"/>
      <scheme val="minor"/>
    </font>
    <font>
      <b/>
      <sz val="11"/>
      <color rgb="FFFFFFFF"/>
      <name val="新細明體"/>
      <charset val="0"/>
      <scheme val="minor"/>
    </font>
    <font>
      <b/>
      <sz val="11"/>
      <color rgb="FFFA7D00"/>
      <name val="新細明體"/>
      <charset val="0"/>
      <scheme val="minor"/>
    </font>
    <font>
      <sz val="11"/>
      <color rgb="FFFF0000"/>
      <name val="新細明體"/>
      <charset val="0"/>
      <scheme val="minor"/>
    </font>
    <font>
      <b/>
      <sz val="11"/>
      <color rgb="FF3F3F3F"/>
      <name val="新細明體"/>
      <charset val="0"/>
      <scheme val="minor"/>
    </font>
    <font>
      <i/>
      <sz val="11"/>
      <color rgb="FF7F7F7F"/>
      <name val="新細明體"/>
      <charset val="0"/>
      <scheme val="minor"/>
    </font>
    <font>
      <sz val="11"/>
      <color rgb="FF9C6500"/>
      <name val="新細明體"/>
      <charset val="0"/>
      <scheme val="minor"/>
    </font>
    <font>
      <b/>
      <sz val="13"/>
      <color theme="3"/>
      <name val="新細明體"/>
      <charset val="134"/>
      <scheme val="minor"/>
    </font>
    <font>
      <sz val="11"/>
      <color rgb="FF006100"/>
      <name val="新細明體"/>
      <charset val="0"/>
      <scheme val="minor"/>
    </font>
    <font>
      <b/>
      <sz val="15"/>
      <color theme="3"/>
      <name val="新細明體"/>
      <charset val="134"/>
      <scheme val="minor"/>
    </font>
    <font>
      <sz val="11"/>
      <color rgb="FF3F3F76"/>
      <name val="新細明體"/>
      <charset val="0"/>
      <scheme val="minor"/>
    </font>
    <font>
      <b/>
      <sz val="14"/>
      <color theme="4" tint="0.799981688894314"/>
      <name val="Arial"/>
      <charset val="134"/>
    </font>
    <font>
      <i/>
      <u/>
      <sz val="10"/>
      <name val="Arial"/>
      <charset val="134"/>
    </font>
    <font>
      <i/>
      <sz val="10"/>
      <name val="Symbol"/>
      <charset val="2"/>
    </font>
    <font>
      <b/>
      <i/>
      <sz val="10"/>
      <name val="Arial"/>
      <charset val="134"/>
    </font>
    <font>
      <sz val="10"/>
      <color theme="2"/>
      <name val="Arial"/>
      <charset val="134"/>
    </font>
    <font>
      <sz val="9"/>
      <name val="Tahoma"/>
      <charset val="134"/>
    </font>
    <font>
      <sz val="10"/>
      <name val="Tahoma"/>
      <charset val="134"/>
    </font>
    <font>
      <b/>
      <sz val="10"/>
      <name val="Tahoma"/>
      <charset val="134"/>
    </font>
    <font>
      <sz val="8"/>
      <name val="Tahoma"/>
      <charset val="134"/>
    </font>
    <font>
      <b/>
      <sz val="8"/>
      <name val="Tahoma"/>
      <charset val="134"/>
    </font>
  </fonts>
  <fills count="45">
    <fill>
      <patternFill patternType="none"/>
    </fill>
    <fill>
      <patternFill patternType="gray125"/>
    </fill>
    <fill>
      <patternFill patternType="solid">
        <fgColor theme="3"/>
        <bgColor indexed="64"/>
      </patternFill>
    </fill>
    <fill>
      <patternFill patternType="solid">
        <fgColor theme="2"/>
        <bgColor indexed="64"/>
      </patternFill>
    </fill>
    <fill>
      <patternFill patternType="solid">
        <fgColor theme="8" tint="0.799981688894314"/>
        <bgColor indexed="64"/>
      </patternFill>
    </fill>
    <fill>
      <patternFill patternType="solid">
        <fgColor theme="0"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0" tint="0.599993896298105"/>
        <bgColor indexed="64"/>
      </patternFill>
    </fill>
    <fill>
      <patternFill patternType="solid">
        <fgColor theme="7" tint="0.799981688894314"/>
        <bgColor indexed="64"/>
      </patternFill>
    </fill>
    <fill>
      <patternFill patternType="solid">
        <fgColor rgb="FFFF7C80"/>
        <bgColor indexed="64"/>
      </patternFill>
    </fill>
    <fill>
      <patternFill patternType="solid">
        <fgColor theme="7" tint="0.599993896298105"/>
        <bgColor indexed="64"/>
      </patternFill>
    </fill>
    <fill>
      <patternFill patternType="solid">
        <fgColor theme="4"/>
        <bgColor indexed="64"/>
      </patternFill>
    </fill>
    <fill>
      <patternFill patternType="solid">
        <fgColor indexed="26"/>
        <bgColor indexed="64"/>
      </patternFill>
    </fill>
    <fill>
      <patternFill patternType="solid">
        <fgColor theme="6"/>
        <bgColor indexed="64"/>
      </patternFill>
    </fill>
    <fill>
      <patternFill patternType="solid">
        <fgColor theme="2" tint="0.599993896298105"/>
        <bgColor indexed="64"/>
      </patternFill>
    </fill>
    <fill>
      <patternFill patternType="solid">
        <fgColor theme="3" tint="0.749992370372631"/>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4" tint="0.399975585192419"/>
        <bgColor indexed="64"/>
      </patternFill>
    </fill>
    <fill>
      <patternFill patternType="solid">
        <fgColor theme="3" tint="0.499984740745262"/>
        <bgColor indexed="64"/>
      </patternFill>
    </fill>
    <fill>
      <patternFill patternType="solid">
        <fgColor indexed="56"/>
        <bgColor indexed="64"/>
      </patternFill>
    </fill>
    <fill>
      <patternFill patternType="solid">
        <fgColor theme="2" tint="0.799981688894314"/>
        <bgColor indexed="64"/>
      </patternFill>
    </fill>
    <fill>
      <patternFill patternType="solid">
        <fgColor indexed="9"/>
        <bgColor indexed="64"/>
      </patternFill>
    </fill>
    <fill>
      <patternFill patternType="solid">
        <fgColor rgb="FFFFFFCC"/>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5"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rgb="FFC6EFCE"/>
        <bgColor indexed="64"/>
      </patternFill>
    </fill>
    <fill>
      <patternFill patternType="solid">
        <fgColor rgb="FFFFCC99"/>
        <bgColor indexed="64"/>
      </patternFill>
    </fill>
  </fills>
  <borders count="124">
    <border>
      <left/>
      <right/>
      <top/>
      <bottom/>
      <diagonal/>
    </border>
    <border>
      <left/>
      <right style="thick">
        <color theme="3"/>
      </right>
      <top/>
      <bottom/>
      <diagonal/>
    </border>
    <border>
      <left/>
      <right/>
      <top style="thin">
        <color indexed="26"/>
      </top>
      <bottom/>
      <diagonal/>
    </border>
    <border>
      <left style="thin">
        <color theme="7" tint="0.799981688894314"/>
      </left>
      <right style="thin">
        <color indexed="26"/>
      </right>
      <top style="thin">
        <color theme="7" tint="0.799981688894314"/>
      </top>
      <bottom style="thin">
        <color indexed="26"/>
      </bottom>
      <diagonal/>
    </border>
    <border>
      <left style="thin">
        <color indexed="26"/>
      </left>
      <right style="thin">
        <color theme="7" tint="0.799981688894314"/>
      </right>
      <top style="thin">
        <color theme="7" tint="0.799981688894314"/>
      </top>
      <bottom style="thin">
        <color indexed="26"/>
      </bottom>
      <diagonal/>
    </border>
    <border>
      <left style="thin">
        <color theme="7" tint="0.799981688894314"/>
      </left>
      <right style="thin">
        <color indexed="26"/>
      </right>
      <top style="thin">
        <color indexed="26"/>
      </top>
      <bottom style="thin">
        <color indexed="26"/>
      </bottom>
      <diagonal/>
    </border>
    <border>
      <left style="thin">
        <color indexed="26"/>
      </left>
      <right style="thin">
        <color theme="7" tint="0.799981688894314"/>
      </right>
      <top style="thin">
        <color indexed="26"/>
      </top>
      <bottom style="thin">
        <color indexed="26"/>
      </bottom>
      <diagonal/>
    </border>
    <border>
      <left style="thin">
        <color theme="7" tint="0.799981688894314"/>
      </left>
      <right style="thin">
        <color indexed="26"/>
      </right>
      <top style="thin">
        <color indexed="26"/>
      </top>
      <bottom style="thin">
        <color theme="7" tint="0.799981688894314"/>
      </bottom>
      <diagonal/>
    </border>
    <border>
      <left style="thin">
        <color indexed="26"/>
      </left>
      <right style="thin">
        <color theme="7" tint="0.799981688894314"/>
      </right>
      <top style="thin">
        <color indexed="26"/>
      </top>
      <bottom style="thin">
        <color theme="7" tint="0.799981688894314"/>
      </bottom>
      <diagonal/>
    </border>
    <border>
      <left style="thin">
        <color auto="1"/>
      </left>
      <right style="thin">
        <color auto="1"/>
      </right>
      <top/>
      <bottom/>
      <diagonal/>
    </border>
    <border>
      <left/>
      <right style="thin">
        <color auto="1"/>
      </right>
      <top/>
      <bottom style="medium">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style="thin">
        <color auto="1"/>
      </left>
      <right style="thin">
        <color indexed="22"/>
      </right>
      <top style="medium">
        <color auto="1"/>
      </top>
      <bottom style="thin">
        <color indexed="22"/>
      </bottom>
      <diagonal/>
    </border>
    <border>
      <left style="thin">
        <color indexed="22"/>
      </left>
      <right style="thin">
        <color indexed="22"/>
      </right>
      <top style="medium">
        <color auto="1"/>
      </top>
      <bottom style="thin">
        <color indexed="22"/>
      </bottom>
      <diagonal/>
    </border>
    <border>
      <left style="thin">
        <color auto="1"/>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auto="1"/>
      </left>
      <right style="thin">
        <color indexed="22"/>
      </right>
      <top style="thin">
        <color indexed="22"/>
      </top>
      <bottom style="thin">
        <color auto="1"/>
      </bottom>
      <diagonal/>
    </border>
    <border>
      <left style="thin">
        <color indexed="22"/>
      </left>
      <right style="thin">
        <color indexed="22"/>
      </right>
      <top style="thin">
        <color indexed="22"/>
      </top>
      <bottom style="thin">
        <color auto="1"/>
      </bottom>
      <diagonal/>
    </border>
    <border>
      <left style="thin">
        <color indexed="18"/>
      </left>
      <right/>
      <top style="thin">
        <color indexed="18"/>
      </top>
      <bottom/>
      <diagonal/>
    </border>
    <border>
      <left/>
      <right/>
      <top style="thin">
        <color indexed="18"/>
      </top>
      <bottom/>
      <diagonal/>
    </border>
    <border>
      <left style="thin">
        <color theme="3"/>
      </left>
      <right/>
      <top style="thin">
        <color theme="3"/>
      </top>
      <bottom/>
      <diagonal/>
    </border>
    <border>
      <left/>
      <right/>
      <top style="thin">
        <color theme="3"/>
      </top>
      <bottom/>
      <diagonal/>
    </border>
    <border>
      <left style="thin">
        <color theme="3"/>
      </left>
      <right/>
      <top/>
      <bottom/>
      <diagonal/>
    </border>
    <border>
      <left style="thin">
        <color theme="3"/>
      </left>
      <right/>
      <top/>
      <bottom style="thin">
        <color theme="3"/>
      </bottom>
      <diagonal/>
    </border>
    <border>
      <left/>
      <right/>
      <top/>
      <bottom style="thin">
        <color theme="3"/>
      </bottom>
      <diagonal/>
    </border>
    <border>
      <left/>
      <right style="thin">
        <color auto="1"/>
      </right>
      <top/>
      <bottom/>
      <diagonal/>
    </border>
    <border>
      <left style="thin">
        <color indexed="22"/>
      </left>
      <right style="thin">
        <color auto="1"/>
      </right>
      <top style="medium">
        <color auto="1"/>
      </top>
      <bottom style="thin">
        <color indexed="22"/>
      </bottom>
      <diagonal/>
    </border>
    <border>
      <left style="thin">
        <color indexed="22"/>
      </left>
      <right style="thin">
        <color auto="1"/>
      </right>
      <top style="thin">
        <color indexed="22"/>
      </top>
      <bottom style="thin">
        <color indexed="22"/>
      </bottom>
      <diagonal/>
    </border>
    <border>
      <left style="thin">
        <color indexed="22"/>
      </left>
      <right style="thin">
        <color auto="1"/>
      </right>
      <top style="thin">
        <color indexed="22"/>
      </top>
      <bottom style="thin">
        <color auto="1"/>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right/>
      <top/>
      <bottom style="medium">
        <color theme="3"/>
      </bottom>
      <diagonal/>
    </border>
    <border>
      <left/>
      <right style="medium">
        <color theme="3"/>
      </right>
      <top/>
      <bottom style="medium">
        <color theme="3"/>
      </bottom>
      <diagonal/>
    </border>
    <border>
      <left style="medium">
        <color theme="3"/>
      </left>
      <right style="thin">
        <color auto="1"/>
      </right>
      <top style="medium">
        <color theme="3"/>
      </top>
      <bottom style="medium">
        <color theme="3"/>
      </bottom>
      <diagonal/>
    </border>
    <border>
      <left style="thin">
        <color auto="1"/>
      </left>
      <right style="thin">
        <color auto="1"/>
      </right>
      <top style="medium">
        <color theme="3"/>
      </top>
      <bottom style="medium">
        <color theme="3"/>
      </bottom>
      <diagonal/>
    </border>
    <border>
      <left style="thin">
        <color auto="1"/>
      </left>
      <right style="medium">
        <color theme="3"/>
      </right>
      <top style="medium">
        <color theme="3"/>
      </top>
      <bottom style="medium">
        <color theme="3"/>
      </bottom>
      <diagonal/>
    </border>
    <border>
      <left style="medium">
        <color theme="3"/>
      </left>
      <right style="thin">
        <color auto="1"/>
      </right>
      <top style="medium">
        <color theme="3"/>
      </top>
      <bottom/>
      <diagonal/>
    </border>
    <border>
      <left style="thin">
        <color auto="1"/>
      </left>
      <right style="thin">
        <color auto="1"/>
      </right>
      <top style="medium">
        <color theme="3"/>
      </top>
      <bottom/>
      <diagonal/>
    </border>
    <border>
      <left style="thin">
        <color auto="1"/>
      </left>
      <right style="medium">
        <color theme="3"/>
      </right>
      <top style="medium">
        <color theme="3"/>
      </top>
      <bottom/>
      <diagonal/>
    </border>
    <border>
      <left style="medium">
        <color theme="3"/>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theme="3"/>
      </right>
      <top/>
      <bottom style="medium">
        <color theme="3"/>
      </bottom>
      <diagonal/>
    </border>
    <border>
      <left style="medium">
        <color theme="3"/>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theme="3"/>
      </left>
      <right style="thin">
        <color auto="1"/>
      </right>
      <top style="thin">
        <color auto="1"/>
      </top>
      <bottom/>
      <diagonal/>
    </border>
    <border>
      <left style="medium">
        <color theme="3"/>
      </left>
      <right style="thin">
        <color auto="1"/>
      </right>
      <top style="thin">
        <color auto="1"/>
      </top>
      <bottom style="medium">
        <color theme="3"/>
      </bottom>
      <diagonal/>
    </border>
    <border>
      <left style="thin">
        <color auto="1"/>
      </left>
      <right style="thin">
        <color auto="1"/>
      </right>
      <top style="thin">
        <color auto="1"/>
      </top>
      <bottom style="medium">
        <color theme="3"/>
      </bottom>
      <diagonal/>
    </border>
    <border>
      <left style="thin">
        <color auto="1"/>
      </left>
      <right style="thin">
        <color auto="1"/>
      </right>
      <top/>
      <bottom style="medium">
        <color theme="3"/>
      </bottom>
      <diagonal/>
    </border>
    <border>
      <left style="medium">
        <color theme="3"/>
      </left>
      <right style="thin">
        <color auto="1"/>
      </right>
      <top/>
      <bottom style="medium">
        <color theme="3"/>
      </bottom>
      <diagonal/>
    </border>
    <border>
      <left style="thin">
        <color auto="1"/>
      </left>
      <right style="medium">
        <color theme="3"/>
      </right>
      <top/>
      <bottom/>
      <diagonal/>
    </border>
    <border>
      <left style="medium">
        <color theme="3"/>
      </left>
      <right/>
      <top style="thin">
        <color auto="1"/>
      </top>
      <bottom style="thin">
        <color theme="3"/>
      </bottom>
      <diagonal/>
    </border>
    <border>
      <left style="thin">
        <color auto="1"/>
      </left>
      <right style="thin">
        <color auto="1"/>
      </right>
      <top style="thin">
        <color auto="1"/>
      </top>
      <bottom style="thin">
        <color theme="3"/>
      </bottom>
      <diagonal/>
    </border>
    <border>
      <left style="medium">
        <color theme="3"/>
      </left>
      <right style="thin">
        <color auto="1"/>
      </right>
      <top style="thin">
        <color auto="1"/>
      </top>
      <bottom style="thin">
        <color theme="3"/>
      </bottom>
      <diagonal/>
    </border>
    <border>
      <left style="medium">
        <color theme="3"/>
      </left>
      <right style="thin">
        <color auto="1"/>
      </right>
      <top style="thin">
        <color theme="3"/>
      </top>
      <bottom style="thin">
        <color theme="3"/>
      </bottom>
      <diagonal/>
    </border>
    <border>
      <left style="thin">
        <color auto="1"/>
      </left>
      <right style="thin">
        <color auto="1"/>
      </right>
      <top style="thin">
        <color theme="3"/>
      </top>
      <bottom style="thin">
        <color theme="3"/>
      </bottom>
      <diagonal/>
    </border>
    <border>
      <left style="medium">
        <color theme="3"/>
      </left>
      <right style="thin">
        <color auto="1"/>
      </right>
      <top style="thin">
        <color theme="3"/>
      </top>
      <bottom style="medium">
        <color theme="3"/>
      </bottom>
      <diagonal/>
    </border>
    <border>
      <left style="thin">
        <color auto="1"/>
      </left>
      <right style="thin">
        <color auto="1"/>
      </right>
      <top style="thin">
        <color theme="3"/>
      </top>
      <bottom style="medium">
        <color theme="3"/>
      </bottom>
      <diagonal/>
    </border>
    <border>
      <left style="medium">
        <color theme="3"/>
      </left>
      <right style="medium">
        <color theme="3"/>
      </right>
      <top style="medium">
        <color theme="3"/>
      </top>
      <bottom/>
      <diagonal/>
    </border>
    <border>
      <left style="thin">
        <color auto="1"/>
      </left>
      <right style="medium">
        <color theme="3"/>
      </right>
      <top style="medium">
        <color indexed="18"/>
      </top>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style="thin">
        <color auto="1"/>
      </left>
      <right style="thin">
        <color auto="1"/>
      </right>
      <top style="medium">
        <color auto="1"/>
      </top>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theme="3"/>
      </left>
      <right/>
      <top style="thin">
        <color theme="3"/>
      </top>
      <bottom style="thin">
        <color theme="7" tint="0.799981688894314"/>
      </bottom>
      <diagonal/>
    </border>
    <border>
      <left/>
      <right/>
      <top style="thin">
        <color theme="3"/>
      </top>
      <bottom style="thin">
        <color theme="7" tint="0.799981688894314"/>
      </bottom>
      <diagonal/>
    </border>
    <border>
      <left/>
      <right style="thin">
        <color theme="3"/>
      </right>
      <top style="thin">
        <color theme="3"/>
      </top>
      <bottom style="thin">
        <color theme="7" tint="0.799981688894314"/>
      </bottom>
      <diagonal/>
    </border>
    <border>
      <left style="thin">
        <color theme="3"/>
      </left>
      <right style="thin">
        <color theme="7" tint="0.799981688894314"/>
      </right>
      <top style="thin">
        <color theme="7" tint="0.799981688894314"/>
      </top>
      <bottom style="thin">
        <color theme="7" tint="0.799981688894314"/>
      </bottom>
      <diagonal/>
    </border>
    <border>
      <left style="thin">
        <color theme="7" tint="0.799981688894314"/>
      </left>
      <right style="thin">
        <color theme="7" tint="0.799981688894314"/>
      </right>
      <top style="thin">
        <color theme="7" tint="0.799981688894314"/>
      </top>
      <bottom style="thin">
        <color theme="7" tint="0.799981688894314"/>
      </bottom>
      <diagonal/>
    </border>
    <border>
      <left style="thin">
        <color theme="7" tint="0.799981688894314"/>
      </left>
      <right style="thin">
        <color theme="3"/>
      </right>
      <top style="thin">
        <color theme="7" tint="0.799981688894314"/>
      </top>
      <bottom style="thin">
        <color theme="7" tint="0.799981688894314"/>
      </bottom>
      <diagonal/>
    </border>
    <border>
      <left style="thin">
        <color theme="3"/>
      </left>
      <right/>
      <top style="thin">
        <color theme="7" tint="0.799981688894314"/>
      </top>
      <bottom style="thin">
        <color theme="3"/>
      </bottom>
      <diagonal/>
    </border>
    <border>
      <left/>
      <right style="thin">
        <color theme="7" tint="0.799981688894314"/>
      </right>
      <top style="thin">
        <color theme="7" tint="0.799981688894314"/>
      </top>
      <bottom style="thin">
        <color theme="3"/>
      </bottom>
      <diagonal/>
    </border>
    <border>
      <left style="thin">
        <color theme="7" tint="0.799981688894314"/>
      </left>
      <right style="thin">
        <color theme="7" tint="0.799981688894314"/>
      </right>
      <top style="thin">
        <color theme="7" tint="0.799981688894314"/>
      </top>
      <bottom style="thin">
        <color theme="3"/>
      </bottom>
      <diagonal/>
    </border>
    <border>
      <left style="thin">
        <color theme="7" tint="0.799981688894314"/>
      </left>
      <right style="thin">
        <color theme="3"/>
      </right>
      <top style="thin">
        <color theme="7" tint="0.799981688894314"/>
      </top>
      <bottom style="thin">
        <color theme="3"/>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style="medium">
        <color theme="8" tint="0.799981688894314"/>
      </left>
      <right/>
      <top style="thin">
        <color indexed="26"/>
      </top>
      <bottom/>
      <diagonal/>
    </border>
    <border>
      <left style="medium">
        <color theme="8" tint="0.799981688894314"/>
      </left>
      <right/>
      <top/>
      <bottom/>
      <diagonal/>
    </border>
    <border>
      <left/>
      <right/>
      <top/>
      <bottom style="medium">
        <color theme="8" tint="0.799981688894314"/>
      </bottom>
      <diagonal/>
    </border>
    <border>
      <left/>
      <right style="thick">
        <color theme="3"/>
      </right>
      <top/>
      <bottom style="medium">
        <color theme="8" tint="0.799981688894314"/>
      </bottom>
      <diagonal/>
    </border>
    <border>
      <left/>
      <right style="medium">
        <color theme="8" tint="0.799951170384838"/>
      </right>
      <top/>
      <bottom style="medium">
        <color theme="0" tint="0.799981688894314"/>
      </bottom>
      <diagonal/>
    </border>
    <border>
      <left style="medium">
        <color theme="8" tint="0.799951170384838"/>
      </left>
      <right/>
      <top/>
      <bottom/>
      <diagonal/>
    </border>
    <border>
      <left/>
      <right/>
      <top/>
      <bottom style="thin">
        <color indexed="56"/>
      </bottom>
      <diagonal/>
    </border>
    <border>
      <left style="thin">
        <color auto="1"/>
      </left>
      <right/>
      <top style="thin">
        <color indexed="56"/>
      </top>
      <bottom/>
      <diagonal/>
    </border>
    <border>
      <left/>
      <right style="thin">
        <color auto="1"/>
      </right>
      <top style="thin">
        <color indexed="56"/>
      </top>
      <bottom/>
      <diagonal/>
    </border>
    <border>
      <left/>
      <right style="thin">
        <color auto="1"/>
      </right>
      <top style="thin">
        <color indexed="9"/>
      </top>
      <bottom/>
      <diagonal/>
    </border>
    <border>
      <left/>
      <right style="thin">
        <color auto="1"/>
      </right>
      <top style="thin">
        <color indexed="26"/>
      </top>
      <bottom/>
      <diagonal/>
    </border>
    <border>
      <left style="thin">
        <color auto="1"/>
      </left>
      <right/>
      <top/>
      <bottom/>
      <diagonal/>
    </border>
    <border>
      <left/>
      <right style="thin">
        <color auto="1"/>
      </right>
      <top/>
      <bottom style="medium">
        <color theme="3"/>
      </bottom>
      <diagonal/>
    </border>
    <border>
      <left/>
      <right style="thin">
        <color indexed="56"/>
      </right>
      <top/>
      <bottom style="thin">
        <color indexed="56"/>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s>
  <cellStyleXfs count="49">
    <xf numFmtId="0" fontId="0" fillId="0" borderId="0"/>
    <xf numFmtId="0" fontId="53" fillId="0" borderId="0" applyNumberFormat="0" applyFill="0" applyBorder="0" applyAlignment="0" applyProtection="0">
      <alignment vertical="center"/>
    </xf>
    <xf numFmtId="0" fontId="56" fillId="31" borderId="0" applyNumberFormat="0" applyBorder="0" applyAlignment="0" applyProtection="0">
      <alignment vertical="center"/>
    </xf>
    <xf numFmtId="41" fontId="50" fillId="0" borderId="0" applyFont="0" applyFill="0" applyBorder="0" applyAlignment="0" applyProtection="0">
      <alignment vertical="center"/>
    </xf>
    <xf numFmtId="43" fontId="50" fillId="0" borderId="0" applyFont="0" applyFill="0" applyBorder="0" applyAlignment="0" applyProtection="0">
      <alignment vertical="center"/>
    </xf>
    <xf numFmtId="0" fontId="56" fillId="28" borderId="0" applyNumberFormat="0" applyBorder="0" applyAlignment="0" applyProtection="0">
      <alignment vertical="center"/>
    </xf>
    <xf numFmtId="44" fontId="50" fillId="0" borderId="0" applyFont="0" applyFill="0" applyBorder="0" applyAlignment="0" applyProtection="0">
      <alignment vertical="center"/>
    </xf>
    <xf numFmtId="0" fontId="50" fillId="27" borderId="116" applyNumberFormat="0" applyFont="0" applyAlignment="0" applyProtection="0">
      <alignment vertical="center"/>
    </xf>
    <xf numFmtId="0" fontId="51" fillId="0" borderId="0" applyNumberFormat="0" applyFill="0" applyBorder="0" applyAlignment="0" applyProtection="0">
      <alignment vertical="center"/>
    </xf>
    <xf numFmtId="9" fontId="50" fillId="0" borderId="0" applyFont="0" applyFill="0" applyBorder="0" applyAlignment="0" applyProtection="0">
      <alignment vertical="center"/>
    </xf>
    <xf numFmtId="0" fontId="56" fillId="4" borderId="0" applyNumberFormat="0" applyBorder="0" applyAlignment="0" applyProtection="0">
      <alignment vertical="center"/>
    </xf>
    <xf numFmtId="0" fontId="56" fillId="9" borderId="0" applyNumberFormat="0" applyBorder="0" applyAlignment="0" applyProtection="0">
      <alignment vertical="center"/>
    </xf>
    <xf numFmtId="0" fontId="54" fillId="22" borderId="0" applyNumberFormat="0" applyBorder="0" applyAlignment="0" applyProtection="0">
      <alignment vertical="center"/>
    </xf>
    <xf numFmtId="42" fontId="50" fillId="0" borderId="0" applyFont="0" applyFill="0" applyBorder="0" applyAlignment="0" applyProtection="0">
      <alignment vertical="center"/>
    </xf>
    <xf numFmtId="0" fontId="62" fillId="0" borderId="0" applyNumberFormat="0" applyFill="0" applyBorder="0" applyAlignment="0" applyProtection="0">
      <alignment vertical="center"/>
    </xf>
    <xf numFmtId="0" fontId="52"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56" fillId="41" borderId="0" applyNumberFormat="0" applyBorder="0" applyAlignment="0" applyProtection="0">
      <alignment vertical="center"/>
    </xf>
    <xf numFmtId="0" fontId="54" fillId="34" borderId="0" applyNumberFormat="0" applyBorder="0" applyAlignment="0" applyProtection="0">
      <alignment vertical="center"/>
    </xf>
    <xf numFmtId="0" fontId="68" fillId="0" borderId="123" applyNumberFormat="0" applyFill="0" applyAlignment="0" applyProtection="0">
      <alignment vertical="center"/>
    </xf>
    <xf numFmtId="0" fontId="54" fillId="8" borderId="0" applyNumberFormat="0" applyBorder="0" applyAlignment="0" applyProtection="0">
      <alignment vertical="center"/>
    </xf>
    <xf numFmtId="0" fontId="66" fillId="0" borderId="123" applyNumberFormat="0" applyFill="0" applyAlignment="0" applyProtection="0">
      <alignment vertical="center"/>
    </xf>
    <xf numFmtId="0" fontId="54" fillId="19" borderId="0" applyNumberFormat="0" applyBorder="0" applyAlignment="0" applyProtection="0">
      <alignment vertical="center"/>
    </xf>
    <xf numFmtId="0" fontId="59" fillId="0" borderId="119" applyNumberFormat="0" applyFill="0" applyAlignment="0" applyProtection="0">
      <alignment vertical="center"/>
    </xf>
    <xf numFmtId="0" fontId="59" fillId="0" borderId="0" applyNumberFormat="0" applyFill="0" applyBorder="0" applyAlignment="0" applyProtection="0">
      <alignment vertical="center"/>
    </xf>
    <xf numFmtId="0" fontId="67" fillId="43" borderId="0" applyNumberFormat="0" applyBorder="0" applyAlignment="0" applyProtection="0">
      <alignment vertical="center"/>
    </xf>
    <xf numFmtId="0" fontId="69" fillId="44" borderId="121" applyNumberFormat="0" applyAlignment="0" applyProtection="0">
      <alignment vertical="center"/>
    </xf>
    <xf numFmtId="0" fontId="63" fillId="33" borderId="122" applyNumberFormat="0" applyAlignment="0" applyProtection="0">
      <alignment vertical="center"/>
    </xf>
    <xf numFmtId="0" fontId="61" fillId="33" borderId="121" applyNumberFormat="0" applyAlignment="0" applyProtection="0">
      <alignment vertical="center"/>
    </xf>
    <xf numFmtId="0" fontId="60" fillId="32" borderId="120" applyNumberFormat="0" applyAlignment="0" applyProtection="0">
      <alignment vertical="center"/>
    </xf>
    <xf numFmtId="0" fontId="55" fillId="0" borderId="117" applyNumberFormat="0" applyFill="0" applyAlignment="0" applyProtection="0">
      <alignment vertical="center"/>
    </xf>
    <xf numFmtId="0" fontId="58" fillId="0" borderId="118" applyNumberFormat="0" applyFill="0" applyAlignment="0" applyProtection="0">
      <alignment vertical="center"/>
    </xf>
    <xf numFmtId="0" fontId="57" fillId="30" borderId="0" applyNumberFormat="0" applyBorder="0" applyAlignment="0" applyProtection="0">
      <alignment vertical="center"/>
    </xf>
    <xf numFmtId="0" fontId="65" fillId="40" borderId="0" applyNumberFormat="0" applyBorder="0" applyAlignment="0" applyProtection="0">
      <alignment vertical="center"/>
    </xf>
    <xf numFmtId="0" fontId="54" fillId="14" borderId="0" applyNumberFormat="0" applyBorder="0" applyAlignment="0" applyProtection="0">
      <alignment vertical="center"/>
    </xf>
    <xf numFmtId="0" fontId="56" fillId="37" borderId="0" applyNumberFormat="0" applyBorder="0" applyAlignment="0" applyProtection="0">
      <alignment vertical="center"/>
    </xf>
    <xf numFmtId="0" fontId="56" fillId="39" borderId="0" applyNumberFormat="0" applyBorder="0" applyAlignment="0" applyProtection="0">
      <alignment vertical="center"/>
    </xf>
    <xf numFmtId="0" fontId="54" fillId="6" borderId="0" applyNumberFormat="0" applyBorder="0" applyAlignment="0" applyProtection="0">
      <alignment vertical="center"/>
    </xf>
    <xf numFmtId="0" fontId="56" fillId="11" borderId="0" applyNumberFormat="0" applyBorder="0" applyAlignment="0" applyProtection="0">
      <alignment vertical="center"/>
    </xf>
    <xf numFmtId="0" fontId="56" fillId="36" borderId="0" applyNumberFormat="0" applyBorder="0" applyAlignment="0" applyProtection="0">
      <alignment vertical="center"/>
    </xf>
    <xf numFmtId="0" fontId="56" fillId="29" borderId="0" applyNumberFormat="0" applyBorder="0" applyAlignment="0" applyProtection="0">
      <alignment vertical="center"/>
    </xf>
    <xf numFmtId="0" fontId="56" fillId="13" borderId="0" applyNumberFormat="0" applyBorder="0" applyAlignment="0" applyProtection="0">
      <alignment vertical="center"/>
    </xf>
    <xf numFmtId="0" fontId="54" fillId="42" borderId="0" applyNumberFormat="0" applyBorder="0" applyAlignment="0" applyProtection="0">
      <alignment vertical="center"/>
    </xf>
    <xf numFmtId="0" fontId="54" fillId="16" borderId="0" applyNumberFormat="0" applyBorder="0" applyAlignment="0" applyProtection="0">
      <alignment vertical="center"/>
    </xf>
    <xf numFmtId="0" fontId="56" fillId="7" borderId="0" applyNumberFormat="0" applyBorder="0" applyAlignment="0" applyProtection="0">
      <alignment vertical="center"/>
    </xf>
    <xf numFmtId="0" fontId="54" fillId="20" borderId="0" applyNumberFormat="0" applyBorder="0" applyAlignment="0" applyProtection="0">
      <alignment vertical="center"/>
    </xf>
    <xf numFmtId="0" fontId="54" fillId="38" borderId="0" applyNumberFormat="0" applyBorder="0" applyAlignment="0" applyProtection="0">
      <alignment vertical="center"/>
    </xf>
    <xf numFmtId="0" fontId="54" fillId="21" borderId="0" applyNumberFormat="0" applyBorder="0" applyAlignment="0" applyProtection="0">
      <alignment vertical="center"/>
    </xf>
    <xf numFmtId="0" fontId="54" fillId="35" borderId="0" applyNumberFormat="0" applyBorder="0" applyAlignment="0" applyProtection="0">
      <alignment vertical="center"/>
    </xf>
  </cellStyleXfs>
  <cellXfs count="364">
    <xf numFmtId="0" fontId="0" fillId="0" borderId="0" xfId="0"/>
    <xf numFmtId="0" fontId="0" fillId="2" borderId="0" xfId="0" applyFill="1"/>
    <xf numFmtId="0" fontId="1" fillId="2" borderId="0" xfId="0" applyFont="1" applyFill="1" applyBorder="1" applyAlignment="1"/>
    <xf numFmtId="0" fontId="1" fillId="2" borderId="1" xfId="0" applyFont="1" applyFill="1" applyBorder="1" applyAlignment="1"/>
    <xf numFmtId="0" fontId="0" fillId="2" borderId="2" xfId="0" applyFill="1" applyBorder="1"/>
    <xf numFmtId="0" fontId="2" fillId="2" borderId="2" xfId="0" applyFont="1" applyFill="1" applyBorder="1"/>
    <xf numFmtId="177" fontId="3" fillId="3" borderId="0" xfId="0" applyNumberFormat="1" applyFont="1" applyFill="1" applyBorder="1" applyAlignment="1" applyProtection="1">
      <alignment horizontal="right"/>
      <protection locked="0"/>
    </xf>
    <xf numFmtId="176" fontId="3" fillId="3" borderId="1" xfId="0" applyNumberFormat="1" applyFont="1" applyFill="1" applyBorder="1" applyAlignment="1" applyProtection="1">
      <protection locked="0"/>
    </xf>
    <xf numFmtId="0" fontId="4" fillId="2" borderId="0" xfId="0" applyFont="1" applyFill="1" applyBorder="1" applyAlignment="1">
      <alignment horizontal="right"/>
    </xf>
    <xf numFmtId="0" fontId="5" fillId="2" borderId="0" xfId="0" applyFont="1" applyFill="1" applyBorder="1" applyAlignment="1"/>
    <xf numFmtId="9" fontId="6" fillId="2" borderId="3" xfId="0" applyNumberFormat="1" applyFont="1" applyFill="1" applyBorder="1" applyAlignment="1"/>
    <xf numFmtId="9" fontId="6" fillId="2" borderId="4" xfId="0" applyNumberFormat="1" applyFont="1" applyFill="1" applyBorder="1" applyAlignment="1"/>
    <xf numFmtId="0" fontId="0" fillId="4" borderId="0" xfId="0" applyFill="1" applyBorder="1" applyAlignment="1">
      <alignment horizontal="left"/>
    </xf>
    <xf numFmtId="0" fontId="0" fillId="4" borderId="1" xfId="0" applyFill="1" applyBorder="1" applyAlignment="1">
      <alignment horizontal="left"/>
    </xf>
    <xf numFmtId="0" fontId="0" fillId="2" borderId="0" xfId="0" applyFill="1" applyBorder="1"/>
    <xf numFmtId="9" fontId="6" fillId="2" borderId="5" xfId="0" applyNumberFormat="1" applyFont="1" applyFill="1" applyBorder="1" applyAlignment="1"/>
    <xf numFmtId="9" fontId="6" fillId="2" borderId="6" xfId="0" applyNumberFormat="1" applyFont="1" applyFill="1" applyBorder="1" applyAlignment="1"/>
    <xf numFmtId="0" fontId="7" fillId="2" borderId="0" xfId="0" applyFont="1" applyFill="1" applyBorder="1" applyAlignment="1">
      <alignment horizontal="right"/>
    </xf>
    <xf numFmtId="0" fontId="5" fillId="2" borderId="0" xfId="0" applyFont="1" applyFill="1" applyBorder="1" applyAlignment="1">
      <alignment horizontal="right"/>
    </xf>
    <xf numFmtId="1" fontId="5" fillId="2" borderId="0" xfId="0" applyNumberFormat="1" applyFont="1" applyFill="1" applyBorder="1" applyAlignment="1">
      <alignment horizontal="left"/>
    </xf>
    <xf numFmtId="9" fontId="6" fillId="2" borderId="7" xfId="0" applyNumberFormat="1" applyFont="1" applyFill="1" applyBorder="1" applyAlignment="1"/>
    <xf numFmtId="9" fontId="6" fillId="2" borderId="8" xfId="0" applyNumberFormat="1" applyFont="1" applyFill="1" applyBorder="1" applyAlignment="1"/>
    <xf numFmtId="0" fontId="5" fillId="2" borderId="0" xfId="0" applyFont="1" applyFill="1" applyAlignment="1">
      <alignment horizontal="right"/>
    </xf>
    <xf numFmtId="0" fontId="8" fillId="2" borderId="0" xfId="0" applyFont="1" applyFill="1"/>
    <xf numFmtId="0" fontId="0" fillId="5" borderId="0" xfId="0" applyFill="1"/>
    <xf numFmtId="0" fontId="9" fillId="5" borderId="0" xfId="0" applyFont="1" applyFill="1"/>
    <xf numFmtId="0" fontId="0" fillId="6" borderId="9" xfId="0" applyFill="1" applyBorder="1" applyAlignment="1"/>
    <xf numFmtId="0" fontId="0" fillId="7" borderId="9" xfId="0" applyFill="1" applyBorder="1"/>
    <xf numFmtId="0" fontId="0" fillId="8" borderId="9" xfId="0" applyFill="1" applyBorder="1"/>
    <xf numFmtId="0" fontId="0" fillId="9" borderId="9" xfId="0" applyFill="1" applyBorder="1"/>
    <xf numFmtId="0" fontId="10" fillId="7" borderId="9" xfId="0" applyFont="1" applyFill="1" applyBorder="1" applyAlignment="1">
      <alignment horizontal="center"/>
    </xf>
    <xf numFmtId="0" fontId="10" fillId="10" borderId="9" xfId="0" applyFont="1" applyFill="1" applyBorder="1" applyAlignment="1">
      <alignment horizontal="center"/>
    </xf>
    <xf numFmtId="0" fontId="9" fillId="5" borderId="10" xfId="0" applyFont="1" applyFill="1" applyBorder="1"/>
    <xf numFmtId="0" fontId="10" fillId="6" borderId="11" xfId="0" applyFont="1" applyFill="1" applyBorder="1" applyAlignment="1">
      <alignment horizontal="center"/>
    </xf>
    <xf numFmtId="0" fontId="10" fillId="7" borderId="12" xfId="0" applyFont="1" applyFill="1" applyBorder="1" applyAlignment="1">
      <alignment horizontal="center"/>
    </xf>
    <xf numFmtId="0" fontId="10" fillId="8" borderId="12" xfId="0" applyFont="1" applyFill="1" applyBorder="1" applyAlignment="1">
      <alignment horizontal="center"/>
    </xf>
    <xf numFmtId="0" fontId="10" fillId="9" borderId="12" xfId="0" applyFont="1" applyFill="1" applyBorder="1" applyAlignment="1">
      <alignment horizontal="center"/>
    </xf>
    <xf numFmtId="0" fontId="10" fillId="10" borderId="12" xfId="0" applyFont="1" applyFill="1" applyBorder="1" applyAlignment="1">
      <alignment horizontal="center"/>
    </xf>
    <xf numFmtId="0" fontId="0" fillId="0" borderId="13" xfId="0" applyFont="1" applyBorder="1" applyAlignment="1">
      <alignment horizontal="right"/>
    </xf>
    <xf numFmtId="0" fontId="0" fillId="0" borderId="14" xfId="0" applyBorder="1"/>
    <xf numFmtId="0" fontId="0" fillId="0" borderId="15" xfId="0" applyBorder="1" applyAlignment="1">
      <alignment horizontal="right"/>
    </xf>
    <xf numFmtId="0" fontId="0" fillId="0" borderId="16" xfId="0" applyBorder="1"/>
    <xf numFmtId="0" fontId="0" fillId="0" borderId="17" xfId="0" applyBorder="1" applyAlignment="1">
      <alignment horizontal="right"/>
    </xf>
    <xf numFmtId="0" fontId="0" fillId="0" borderId="18" xfId="0" applyBorder="1"/>
    <xf numFmtId="0" fontId="11" fillId="2" borderId="19" xfId="0" applyFont="1" applyFill="1" applyBorder="1"/>
    <xf numFmtId="0" fontId="12" fillId="2" borderId="20" xfId="0" applyFont="1" applyFill="1" applyBorder="1"/>
    <xf numFmtId="0" fontId="13" fillId="11" borderId="21" xfId="0" applyFont="1" applyFill="1" applyBorder="1" applyAlignment="1">
      <alignment vertical="top" wrapText="1"/>
    </xf>
    <xf numFmtId="0" fontId="13" fillId="11" borderId="22" xfId="0" applyFont="1" applyFill="1" applyBorder="1" applyAlignment="1">
      <alignment vertical="top" wrapText="1"/>
    </xf>
    <xf numFmtId="0" fontId="13" fillId="11" borderId="23" xfId="0" applyFont="1" applyFill="1" applyBorder="1" applyAlignment="1">
      <alignment vertical="top" wrapText="1"/>
    </xf>
    <xf numFmtId="0" fontId="13" fillId="11" borderId="0" xfId="0" applyFont="1" applyFill="1" applyBorder="1" applyAlignment="1">
      <alignment vertical="top" wrapText="1"/>
    </xf>
    <xf numFmtId="0" fontId="13" fillId="11" borderId="24" xfId="0" applyFont="1" applyFill="1" applyBorder="1" applyAlignment="1">
      <alignment vertical="top" wrapText="1"/>
    </xf>
    <xf numFmtId="0" fontId="13" fillId="11" borderId="25" xfId="0" applyFont="1" applyFill="1" applyBorder="1" applyAlignment="1">
      <alignment vertical="top" wrapText="1"/>
    </xf>
    <xf numFmtId="0" fontId="0" fillId="2" borderId="26" xfId="0" applyFill="1" applyBorder="1"/>
    <xf numFmtId="0" fontId="14" fillId="2" borderId="0" xfId="0" applyFont="1" applyFill="1" applyBorder="1" applyAlignment="1">
      <alignment horizontal="left"/>
    </xf>
    <xf numFmtId="0" fontId="15" fillId="2" borderId="0" xfId="0" applyFont="1" applyFill="1" applyBorder="1" applyAlignment="1">
      <alignment horizontal="left"/>
    </xf>
    <xf numFmtId="0" fontId="14" fillId="2" borderId="26" xfId="0" applyFont="1" applyFill="1" applyBorder="1" applyAlignment="1">
      <alignment horizontal="left"/>
    </xf>
    <xf numFmtId="0" fontId="14" fillId="2" borderId="0" xfId="0" applyFont="1" applyFill="1" applyBorder="1"/>
    <xf numFmtId="0" fontId="16" fillId="2" borderId="26" xfId="0" applyFont="1" applyFill="1" applyBorder="1"/>
    <xf numFmtId="0" fontId="10" fillId="8" borderId="9" xfId="0" applyFont="1" applyFill="1" applyBorder="1" applyAlignment="1">
      <alignment horizontal="center"/>
    </xf>
    <xf numFmtId="0" fontId="10" fillId="12" borderId="26" xfId="0" applyFont="1" applyFill="1" applyBorder="1" applyAlignment="1">
      <alignment horizontal="center"/>
    </xf>
    <xf numFmtId="0" fontId="10" fillId="12" borderId="12" xfId="0" applyFont="1" applyFill="1" applyBorder="1" applyAlignment="1">
      <alignment horizontal="center"/>
    </xf>
    <xf numFmtId="178" fontId="0" fillId="0" borderId="27" xfId="0" applyNumberFormat="1" applyBorder="1"/>
    <xf numFmtId="178" fontId="0" fillId="0" borderId="28" xfId="0" applyNumberFormat="1" applyBorder="1"/>
    <xf numFmtId="178" fontId="0" fillId="0" borderId="29" xfId="0" applyNumberFormat="1" applyBorder="1"/>
    <xf numFmtId="0" fontId="13" fillId="11" borderId="30" xfId="0" applyFont="1" applyFill="1" applyBorder="1" applyAlignment="1">
      <alignment vertical="top" wrapText="1"/>
    </xf>
    <xf numFmtId="0" fontId="13" fillId="11" borderId="31" xfId="0" applyFont="1" applyFill="1" applyBorder="1" applyAlignment="1">
      <alignment vertical="top" wrapText="1"/>
    </xf>
    <xf numFmtId="0" fontId="13" fillId="11" borderId="32" xfId="0" applyFont="1" applyFill="1" applyBorder="1" applyAlignment="1">
      <alignment vertical="top" wrapText="1"/>
    </xf>
    <xf numFmtId="0" fontId="17" fillId="3" borderId="33" xfId="0" applyFont="1" applyFill="1" applyBorder="1" applyAlignment="1">
      <alignment horizontal="left"/>
    </xf>
    <xf numFmtId="0" fontId="17" fillId="3" borderId="34" xfId="0" applyFont="1" applyFill="1" applyBorder="1" applyAlignment="1">
      <alignment horizontal="left"/>
    </xf>
    <xf numFmtId="0" fontId="18" fillId="3" borderId="35" xfId="0" applyFont="1" applyFill="1" applyBorder="1" applyAlignment="1">
      <alignment horizontal="center"/>
    </xf>
    <xf numFmtId="0" fontId="18" fillId="3" borderId="36" xfId="0" applyFont="1" applyFill="1" applyBorder="1" applyAlignment="1">
      <alignment horizontal="center"/>
    </xf>
    <xf numFmtId="0" fontId="10" fillId="13" borderId="36" xfId="0" applyFont="1" applyFill="1" applyBorder="1" applyAlignment="1">
      <alignment horizontal="center"/>
    </xf>
    <xf numFmtId="0" fontId="18" fillId="14" borderId="37" xfId="0" applyFont="1" applyFill="1" applyBorder="1" applyAlignment="1">
      <alignment horizontal="center"/>
    </xf>
    <xf numFmtId="0" fontId="19" fillId="11" borderId="38" xfId="0" applyFont="1" applyFill="1" applyBorder="1" applyAlignment="1">
      <alignment vertical="top"/>
    </xf>
    <xf numFmtId="0" fontId="0" fillId="11" borderId="39" xfId="0" applyFill="1" applyBorder="1" applyAlignment="1" applyProtection="1">
      <alignment vertical="top"/>
      <protection locked="0"/>
    </xf>
    <xf numFmtId="0" fontId="0" fillId="11" borderId="40" xfId="0" applyFill="1" applyBorder="1" applyProtection="1">
      <protection locked="0"/>
    </xf>
    <xf numFmtId="0" fontId="20" fillId="0" borderId="41" xfId="0" applyFont="1" applyBorder="1" applyAlignment="1">
      <alignment vertical="top"/>
    </xf>
    <xf numFmtId="0" fontId="0" fillId="0" borderId="42" xfId="0" applyBorder="1" applyAlignment="1" applyProtection="1">
      <alignment vertical="top" wrapText="1"/>
      <protection locked="0"/>
    </xf>
    <xf numFmtId="0" fontId="21" fillId="0" borderId="42" xfId="0" applyFont="1" applyBorder="1" applyAlignment="1" applyProtection="1">
      <alignment vertical="top" wrapText="1"/>
      <protection locked="0"/>
    </xf>
    <xf numFmtId="0" fontId="22" fillId="0" borderId="43" xfId="0" applyFont="1" applyBorder="1" applyAlignment="1" applyProtection="1">
      <alignment horizontal="center" vertical="center"/>
      <protection locked="0"/>
    </xf>
    <xf numFmtId="0" fontId="20" fillId="0" borderId="44" xfId="0" applyFont="1" applyBorder="1" applyAlignment="1">
      <alignment vertical="top"/>
    </xf>
    <xf numFmtId="0" fontId="0" fillId="0" borderId="45" xfId="0" applyBorder="1" applyAlignment="1" applyProtection="1">
      <alignment vertical="top" wrapText="1"/>
      <protection locked="0"/>
    </xf>
    <xf numFmtId="0" fontId="21" fillId="0" borderId="45" xfId="0" applyFont="1" applyBorder="1" applyAlignment="1" applyProtection="1">
      <alignment vertical="top" wrapText="1"/>
      <protection locked="0"/>
    </xf>
    <xf numFmtId="0" fontId="22" fillId="0" borderId="37" xfId="0" applyFont="1" applyBorder="1" applyAlignment="1" applyProtection="1">
      <alignment horizontal="center" vertical="center"/>
      <protection locked="0"/>
    </xf>
    <xf numFmtId="0" fontId="0" fillId="0" borderId="46" xfId="0" applyBorder="1" applyAlignment="1" applyProtection="1">
      <alignment vertical="top" wrapText="1"/>
      <protection locked="0"/>
    </xf>
    <xf numFmtId="0" fontId="21" fillId="0" borderId="46" xfId="0" applyFont="1" applyBorder="1" applyAlignment="1" applyProtection="1">
      <alignment vertical="top" wrapText="1"/>
      <protection locked="0"/>
    </xf>
    <xf numFmtId="0" fontId="20" fillId="0" borderId="47" xfId="0" applyFont="1" applyBorder="1" applyAlignment="1">
      <alignment vertical="top"/>
    </xf>
    <xf numFmtId="0" fontId="20" fillId="0" borderId="47" xfId="0" applyFont="1" applyBorder="1" applyAlignment="1">
      <alignment horizontal="right" vertical="top"/>
    </xf>
    <xf numFmtId="0" fontId="20" fillId="0" borderId="48" xfId="0" applyFont="1" applyBorder="1" applyAlignment="1">
      <alignment horizontal="right" vertical="top"/>
    </xf>
    <xf numFmtId="0" fontId="21" fillId="0" borderId="49" xfId="0" applyFont="1" applyBorder="1" applyAlignment="1" applyProtection="1">
      <alignment vertical="top" wrapText="1"/>
      <protection locked="0"/>
    </xf>
    <xf numFmtId="0" fontId="20" fillId="0" borderId="35" xfId="0" applyFont="1" applyBorder="1" applyAlignment="1">
      <alignment horizontal="right" vertical="top"/>
    </xf>
    <xf numFmtId="0" fontId="0" fillId="0" borderId="9" xfId="0" applyBorder="1" applyAlignment="1" applyProtection="1">
      <alignment vertical="top" wrapText="1"/>
      <protection locked="0"/>
    </xf>
    <xf numFmtId="0" fontId="21" fillId="0" borderId="36" xfId="0" applyFont="1" applyBorder="1" applyAlignment="1" applyProtection="1">
      <alignment vertical="top" wrapText="1"/>
      <protection locked="0"/>
    </xf>
    <xf numFmtId="0" fontId="0" fillId="0" borderId="50" xfId="0" applyBorder="1" applyAlignment="1" applyProtection="1">
      <alignment vertical="top" wrapText="1"/>
      <protection locked="0"/>
    </xf>
    <xf numFmtId="0" fontId="0" fillId="0" borderId="42" xfId="0" applyBorder="1" applyAlignment="1" applyProtection="1">
      <alignment vertical="top"/>
      <protection locked="0"/>
    </xf>
    <xf numFmtId="0" fontId="20" fillId="0" borderId="48" xfId="0" applyFont="1" applyBorder="1" applyAlignment="1">
      <alignment vertical="top"/>
    </xf>
    <xf numFmtId="0" fontId="0" fillId="0" borderId="49" xfId="0" applyBorder="1" applyAlignment="1" applyProtection="1">
      <alignment vertical="top"/>
      <protection locked="0"/>
    </xf>
    <xf numFmtId="0" fontId="20" fillId="0" borderId="41" xfId="0" applyFont="1" applyBorder="1" applyAlignment="1">
      <alignment horizontal="right" vertical="top"/>
    </xf>
    <xf numFmtId="0" fontId="0" fillId="0" borderId="45" xfId="0" applyBorder="1" applyAlignment="1" applyProtection="1">
      <alignment vertical="top"/>
      <protection locked="0"/>
    </xf>
    <xf numFmtId="0" fontId="21" fillId="0" borderId="9" xfId="0" applyFont="1" applyBorder="1" applyAlignment="1" applyProtection="1">
      <alignment vertical="top" wrapText="1"/>
      <protection locked="0"/>
    </xf>
    <xf numFmtId="0" fontId="0" fillId="0" borderId="42" xfId="0" applyFont="1" applyBorder="1" applyAlignment="1" applyProtection="1">
      <alignment vertical="top" wrapText="1"/>
      <protection locked="0"/>
    </xf>
    <xf numFmtId="0" fontId="20" fillId="0" borderId="51" xfId="0" applyFont="1" applyBorder="1" applyAlignment="1">
      <alignment vertical="top"/>
    </xf>
    <xf numFmtId="0" fontId="21" fillId="0" borderId="50" xfId="0" applyFont="1" applyBorder="1" applyAlignment="1" applyProtection="1">
      <alignment vertical="top" wrapText="1"/>
      <protection locked="0"/>
    </xf>
    <xf numFmtId="0" fontId="20" fillId="0" borderId="35" xfId="0" applyFont="1" applyBorder="1" applyAlignment="1">
      <alignment horizontal="left" vertical="top"/>
    </xf>
    <xf numFmtId="0" fontId="0" fillId="0" borderId="36" xfId="0" applyBorder="1" applyAlignment="1" applyProtection="1">
      <alignment vertical="top" wrapText="1"/>
      <protection locked="0"/>
    </xf>
    <xf numFmtId="0" fontId="21" fillId="11" borderId="40" xfId="0" applyFont="1" applyFill="1" applyBorder="1" applyAlignment="1" applyProtection="1">
      <alignment vertical="top" wrapText="1"/>
      <protection locked="0"/>
    </xf>
    <xf numFmtId="0" fontId="23" fillId="0" borderId="52" xfId="0" applyFont="1" applyFill="1" applyBorder="1" applyAlignment="1" applyProtection="1">
      <alignment horizontal="center" vertical="center"/>
      <protection locked="0"/>
    </xf>
    <xf numFmtId="0" fontId="20" fillId="0" borderId="44" xfId="0" applyFont="1" applyBorder="1" applyAlignment="1">
      <alignment horizontal="left"/>
    </xf>
    <xf numFmtId="0" fontId="20" fillId="0" borderId="44" xfId="0" applyFont="1" applyBorder="1" applyAlignment="1">
      <alignment horizontal="left" vertical="top"/>
    </xf>
    <xf numFmtId="0" fontId="20" fillId="0" borderId="53" xfId="0" applyFont="1" applyBorder="1" applyAlignment="1">
      <alignment horizontal="left"/>
    </xf>
    <xf numFmtId="0" fontId="0" fillId="0" borderId="54" xfId="0" applyBorder="1" applyAlignment="1" applyProtection="1">
      <alignment vertical="top"/>
      <protection locked="0"/>
    </xf>
    <xf numFmtId="0" fontId="20" fillId="0" borderId="53" xfId="0" applyFont="1" applyBorder="1" applyAlignment="1">
      <alignment horizontal="left" vertical="top"/>
    </xf>
    <xf numFmtId="0" fontId="0" fillId="0" borderId="54" xfId="0" applyFont="1" applyBorder="1" applyAlignment="1" applyProtection="1">
      <alignment vertical="top" wrapText="1"/>
      <protection locked="0"/>
    </xf>
    <xf numFmtId="0" fontId="0" fillId="0" borderId="45" xfId="0" applyFont="1" applyBorder="1" applyAlignment="1" applyProtection="1">
      <alignment vertical="top"/>
      <protection locked="0"/>
    </xf>
    <xf numFmtId="0" fontId="20" fillId="0" borderId="55" xfId="0" applyFont="1" applyBorder="1" applyAlignment="1">
      <alignment horizontal="left" vertical="top"/>
    </xf>
    <xf numFmtId="0" fontId="21" fillId="0" borderId="54" xfId="0" applyFont="1" applyBorder="1" applyAlignment="1" applyProtection="1">
      <alignment vertical="top" wrapText="1"/>
      <protection locked="0"/>
    </xf>
    <xf numFmtId="0" fontId="20" fillId="0" borderId="56" xfId="0" applyFont="1" applyBorder="1" applyAlignment="1">
      <alignment horizontal="left" vertical="top"/>
    </xf>
    <xf numFmtId="0" fontId="0" fillId="0" borderId="57" xfId="0" applyBorder="1" applyAlignment="1" applyProtection="1">
      <alignment vertical="top"/>
      <protection locked="0"/>
    </xf>
    <xf numFmtId="0" fontId="0" fillId="0" borderId="57" xfId="0" applyBorder="1" applyAlignment="1">
      <alignment vertical="top" wrapText="1"/>
    </xf>
    <xf numFmtId="0" fontId="0" fillId="0" borderId="57" xfId="0" applyFont="1" applyBorder="1" applyAlignment="1" applyProtection="1">
      <alignment vertical="top"/>
      <protection locked="0"/>
    </xf>
    <xf numFmtId="0" fontId="21" fillId="0" borderId="57" xfId="0" applyFont="1" applyBorder="1" applyAlignment="1" applyProtection="1">
      <alignment vertical="top" wrapText="1"/>
      <protection locked="0"/>
    </xf>
    <xf numFmtId="0" fontId="20" fillId="0" borderId="58" xfId="0" applyFont="1" applyBorder="1" applyAlignment="1">
      <alignment horizontal="left" vertical="top"/>
    </xf>
    <xf numFmtId="0" fontId="0" fillId="0" borderId="59" xfId="0" applyFont="1" applyBorder="1" applyAlignment="1" applyProtection="1">
      <alignment vertical="top" wrapText="1"/>
      <protection locked="0"/>
    </xf>
    <xf numFmtId="0" fontId="21" fillId="0" borderId="59" xfId="0" applyFont="1" applyBorder="1" applyAlignment="1" applyProtection="1">
      <alignment vertical="top" wrapText="1"/>
      <protection locked="0"/>
    </xf>
    <xf numFmtId="0" fontId="20" fillId="0" borderId="41" xfId="0" applyFont="1" applyBorder="1" applyAlignment="1">
      <alignment horizontal="left"/>
    </xf>
    <xf numFmtId="0" fontId="20" fillId="0" borderId="48" xfId="0" applyFont="1" applyBorder="1" applyAlignment="1">
      <alignment horizontal="left"/>
    </xf>
    <xf numFmtId="0" fontId="20" fillId="0" borderId="41" xfId="0" applyFont="1" applyBorder="1" applyAlignment="1">
      <alignment horizontal="left" vertical="top"/>
    </xf>
    <xf numFmtId="0" fontId="20" fillId="0" borderId="47" xfId="0" applyFont="1" applyBorder="1" applyAlignment="1">
      <alignment horizontal="left" vertical="top"/>
    </xf>
    <xf numFmtId="0" fontId="0" fillId="0" borderId="54" xfId="0" applyBorder="1" applyAlignment="1" applyProtection="1">
      <alignment vertical="top" wrapText="1"/>
      <protection locked="0"/>
    </xf>
    <xf numFmtId="0" fontId="19" fillId="11" borderId="60" xfId="0" applyFont="1" applyFill="1" applyBorder="1" applyAlignment="1">
      <alignment vertical="top"/>
    </xf>
    <xf numFmtId="0" fontId="23" fillId="0" borderId="43" xfId="0" applyFont="1" applyFill="1" applyBorder="1" applyAlignment="1" applyProtection="1">
      <alignment horizontal="center" vertical="center"/>
      <protection locked="0"/>
    </xf>
    <xf numFmtId="0" fontId="23" fillId="0" borderId="37" xfId="0" applyFont="1" applyFill="1" applyBorder="1" applyAlignment="1" applyProtection="1">
      <alignment horizontal="center" vertical="center"/>
      <protection locked="0"/>
    </xf>
    <xf numFmtId="0" fontId="0" fillId="0" borderId="45" xfId="0" applyFont="1" applyBorder="1" applyAlignment="1" applyProtection="1">
      <alignment vertical="top" wrapText="1"/>
      <protection locked="0"/>
    </xf>
    <xf numFmtId="0" fontId="20" fillId="0" borderId="44" xfId="0" applyFont="1" applyBorder="1" applyAlignment="1">
      <alignment horizontal="right" vertical="top"/>
    </xf>
    <xf numFmtId="0" fontId="20" fillId="0" borderId="44" xfId="0" applyFont="1" applyFill="1" applyBorder="1" applyAlignment="1">
      <alignment horizontal="right"/>
    </xf>
    <xf numFmtId="0" fontId="0" fillId="0" borderId="49" xfId="0" applyFont="1" applyBorder="1" applyAlignment="1" applyProtection="1">
      <alignment vertical="top" wrapText="1"/>
      <protection locked="0"/>
    </xf>
    <xf numFmtId="0" fontId="21" fillId="11" borderId="39" xfId="0" applyFont="1" applyFill="1" applyBorder="1" applyAlignment="1" applyProtection="1">
      <alignment vertical="top" wrapText="1"/>
      <protection locked="0"/>
    </xf>
    <xf numFmtId="0" fontId="0" fillId="0" borderId="49" xfId="0" applyBorder="1" applyAlignment="1" applyProtection="1">
      <alignment vertical="top" wrapText="1"/>
      <protection locked="0"/>
    </xf>
    <xf numFmtId="0" fontId="24" fillId="11" borderId="38" xfId="0" applyFont="1" applyFill="1" applyBorder="1" applyAlignment="1">
      <alignment vertical="top"/>
    </xf>
    <xf numFmtId="0" fontId="21" fillId="0" borderId="46" xfId="0" applyFont="1" applyBorder="1" applyAlignment="1" applyProtection="1">
      <alignment horizontal="left" vertical="top" wrapText="1"/>
      <protection locked="0"/>
    </xf>
    <xf numFmtId="0" fontId="21" fillId="0" borderId="50" xfId="0" applyFont="1" applyBorder="1" applyAlignment="1" applyProtection="1">
      <alignment horizontal="left" vertical="top" wrapText="1"/>
      <protection locked="0"/>
    </xf>
    <xf numFmtId="0" fontId="22" fillId="0" borderId="52" xfId="0" applyFont="1" applyBorder="1" applyAlignment="1" applyProtection="1">
      <alignment horizontal="center" vertical="center"/>
      <protection locked="0"/>
    </xf>
    <xf numFmtId="0" fontId="0" fillId="11" borderId="61" xfId="0" applyFill="1" applyBorder="1" applyProtection="1">
      <protection locked="0"/>
    </xf>
    <xf numFmtId="0" fontId="20" fillId="0" borderId="48" xfId="0" applyFont="1" applyBorder="1" applyAlignment="1">
      <alignment horizontal="left" vertical="top"/>
    </xf>
    <xf numFmtId="0" fontId="0" fillId="15" borderId="40" xfId="0" applyFill="1" applyBorder="1" applyProtection="1">
      <protection locked="0"/>
    </xf>
    <xf numFmtId="0" fontId="0" fillId="0" borderId="50" xfId="0" applyBorder="1" applyAlignment="1" applyProtection="1">
      <alignment vertical="top"/>
      <protection locked="0"/>
    </xf>
    <xf numFmtId="0" fontId="0" fillId="5" borderId="0" xfId="0" applyFill="1" applyBorder="1"/>
    <xf numFmtId="0" fontId="25" fillId="0" borderId="62" xfId="0" applyFont="1" applyBorder="1"/>
    <xf numFmtId="0" fontId="26" fillId="3" borderId="62" xfId="0" applyFont="1" applyFill="1" applyBorder="1"/>
    <xf numFmtId="0" fontId="27" fillId="3" borderId="63" xfId="0" applyFont="1" applyFill="1" applyBorder="1"/>
    <xf numFmtId="0" fontId="26" fillId="16" borderId="62" xfId="0" applyFont="1" applyFill="1" applyBorder="1"/>
    <xf numFmtId="0" fontId="27" fillId="16" borderId="63" xfId="0" applyFont="1" applyFill="1" applyBorder="1"/>
    <xf numFmtId="0" fontId="26" fillId="2" borderId="62" xfId="0" applyFont="1" applyFill="1" applyBorder="1"/>
    <xf numFmtId="0" fontId="27" fillId="2" borderId="63" xfId="0" applyFont="1" applyFill="1" applyBorder="1"/>
    <xf numFmtId="0" fontId="18" fillId="3" borderId="12" xfId="0" applyFont="1" applyFill="1" applyBorder="1" applyAlignment="1">
      <alignment horizontal="center"/>
    </xf>
    <xf numFmtId="0" fontId="0" fillId="11" borderId="64" xfId="0" applyFont="1" applyFill="1" applyBorder="1"/>
    <xf numFmtId="0" fontId="0" fillId="11" borderId="64" xfId="0" applyFill="1" applyBorder="1" applyProtection="1">
      <protection locked="0"/>
    </xf>
    <xf numFmtId="0" fontId="20" fillId="0" borderId="42" xfId="0" applyFont="1" applyBorder="1" applyAlignment="1">
      <alignment horizontal="left"/>
    </xf>
    <xf numFmtId="0" fontId="0" fillId="0" borderId="42" xfId="0" applyBorder="1" applyProtection="1">
      <protection locked="0"/>
    </xf>
    <xf numFmtId="0" fontId="0" fillId="0" borderId="42" xfId="0" applyBorder="1" applyAlignment="1" applyProtection="1">
      <alignment horizontal="right"/>
      <protection locked="0"/>
    </xf>
    <xf numFmtId="0" fontId="20" fillId="0" borderId="45" xfId="0" applyFont="1" applyBorder="1" applyAlignment="1">
      <alignment horizontal="left"/>
    </xf>
    <xf numFmtId="0" fontId="0" fillId="0" borderId="45" xfId="0" applyBorder="1" applyProtection="1">
      <protection locked="0"/>
    </xf>
    <xf numFmtId="0" fontId="0" fillId="0" borderId="45" xfId="0" applyBorder="1" applyAlignment="1" applyProtection="1">
      <alignment horizontal="right"/>
      <protection locked="0"/>
    </xf>
    <xf numFmtId="0" fontId="0" fillId="17" borderId="42" xfId="0" applyFill="1" applyBorder="1" applyProtection="1">
      <protection locked="0"/>
    </xf>
    <xf numFmtId="0" fontId="0" fillId="11" borderId="46" xfId="0" applyFont="1" applyFill="1" applyBorder="1"/>
    <xf numFmtId="0" fontId="0" fillId="11" borderId="46" xfId="0" applyFill="1" applyBorder="1" applyProtection="1">
      <protection locked="0"/>
    </xf>
    <xf numFmtId="0" fontId="0" fillId="11" borderId="46" xfId="0" applyFill="1" applyBorder="1" applyAlignment="1" applyProtection="1">
      <alignment horizontal="right"/>
      <protection locked="0"/>
    </xf>
    <xf numFmtId="0" fontId="28" fillId="0" borderId="45" xfId="0" applyFont="1" applyBorder="1" applyAlignment="1" applyProtection="1">
      <alignment horizontal="right"/>
      <protection locked="0"/>
    </xf>
    <xf numFmtId="0" fontId="0" fillId="0" borderId="46" xfId="0" applyBorder="1" applyProtection="1">
      <protection locked="0"/>
    </xf>
    <xf numFmtId="0" fontId="0" fillId="0" borderId="9" xfId="0" applyBorder="1" applyAlignment="1" applyProtection="1">
      <alignment horizontal="right"/>
      <protection locked="0"/>
    </xf>
    <xf numFmtId="0" fontId="20" fillId="0" borderId="42" xfId="0" applyFont="1" applyFill="1" applyBorder="1" applyAlignment="1">
      <alignment horizontal="left"/>
    </xf>
    <xf numFmtId="0" fontId="0" fillId="0" borderId="42" xfId="0" applyFill="1" applyBorder="1" applyAlignment="1" applyProtection="1">
      <alignment horizontal="right"/>
      <protection locked="0"/>
    </xf>
    <xf numFmtId="0" fontId="0" fillId="17" borderId="42" xfId="0" applyFill="1" applyBorder="1" applyAlignment="1" applyProtection="1">
      <alignment horizontal="right"/>
      <protection locked="0"/>
    </xf>
    <xf numFmtId="0" fontId="0" fillId="17" borderId="42" xfId="0" applyNumberFormat="1" applyFill="1" applyBorder="1" applyAlignment="1" applyProtection="1">
      <alignment horizontal="right"/>
      <protection locked="0"/>
    </xf>
    <xf numFmtId="0" fontId="0" fillId="0" borderId="42" xfId="0" applyNumberFormat="1" applyFill="1" applyBorder="1" applyAlignment="1" applyProtection="1">
      <alignment horizontal="right"/>
      <protection locked="0"/>
    </xf>
    <xf numFmtId="0" fontId="0" fillId="0" borderId="45" xfId="0" applyFill="1" applyBorder="1" applyAlignment="1" applyProtection="1">
      <alignment horizontal="right"/>
      <protection locked="0"/>
    </xf>
    <xf numFmtId="0" fontId="0" fillId="0" borderId="65" xfId="0" applyFill="1" applyBorder="1" applyAlignment="1">
      <alignment horizontal="right"/>
    </xf>
    <xf numFmtId="0" fontId="20" fillId="18" borderId="66" xfId="0" applyFont="1" applyFill="1" applyBorder="1" applyAlignment="1">
      <alignment horizontal="left"/>
    </xf>
    <xf numFmtId="0" fontId="0" fillId="0" borderId="46" xfId="0" applyFill="1" applyBorder="1" applyProtection="1">
      <protection locked="0"/>
    </xf>
    <xf numFmtId="0" fontId="0" fillId="0" borderId="67" xfId="0" applyFill="1" applyBorder="1" applyProtection="1">
      <protection locked="0"/>
    </xf>
    <xf numFmtId="0" fontId="0" fillId="0" borderId="46" xfId="0" applyBorder="1" applyAlignment="1" applyProtection="1">
      <alignment horizontal="right"/>
      <protection locked="0"/>
    </xf>
    <xf numFmtId="0" fontId="0" fillId="0" borderId="68" xfId="0" applyFill="1" applyBorder="1" applyAlignment="1">
      <alignment horizontal="right"/>
    </xf>
    <xf numFmtId="0" fontId="0" fillId="19" borderId="42" xfId="0" applyFill="1" applyBorder="1" applyProtection="1">
      <protection locked="0"/>
    </xf>
    <xf numFmtId="0" fontId="20" fillId="0" borderId="45" xfId="0" applyFont="1" applyFill="1" applyBorder="1" applyAlignment="1">
      <alignment horizontal="left"/>
    </xf>
    <xf numFmtId="0" fontId="0" fillId="20" borderId="45" xfId="0" applyFill="1" applyBorder="1" applyProtection="1">
      <protection locked="0"/>
    </xf>
    <xf numFmtId="0" fontId="0" fillId="0" borderId="45" xfId="0" applyFill="1" applyBorder="1" applyProtection="1">
      <protection locked="0"/>
    </xf>
    <xf numFmtId="0" fontId="20" fillId="18" borderId="69" xfId="0" applyFont="1" applyFill="1" applyBorder="1" applyAlignment="1">
      <alignment horizontal="left"/>
    </xf>
    <xf numFmtId="0" fontId="0" fillId="0" borderId="70" xfId="0" applyBorder="1" applyAlignment="1" applyProtection="1">
      <alignment horizontal="right"/>
      <protection locked="0"/>
    </xf>
    <xf numFmtId="0" fontId="20" fillId="0" borderId="69" xfId="0" applyFont="1" applyFill="1" applyBorder="1" applyAlignment="1">
      <alignment horizontal="left"/>
    </xf>
    <xf numFmtId="0" fontId="0" fillId="0" borderId="45" xfId="0" applyFill="1" applyBorder="1" applyAlignment="1" applyProtection="1">
      <alignment horizontal="right"/>
    </xf>
    <xf numFmtId="0" fontId="0" fillId="0" borderId="9" xfId="0" applyFill="1" applyBorder="1" applyProtection="1">
      <protection locked="0"/>
    </xf>
    <xf numFmtId="0" fontId="0" fillId="0" borderId="26" xfId="0" applyFill="1" applyBorder="1" applyProtection="1">
      <protection locked="0"/>
    </xf>
    <xf numFmtId="0" fontId="0" fillId="0" borderId="45" xfId="0" applyFont="1" applyBorder="1" applyAlignment="1" applyProtection="1">
      <alignment horizontal="right"/>
      <protection locked="0"/>
    </xf>
    <xf numFmtId="0" fontId="0" fillId="0" borderId="46" xfId="0" applyFont="1" applyBorder="1" applyAlignment="1" applyProtection="1">
      <alignment horizontal="right"/>
      <protection locked="0"/>
    </xf>
    <xf numFmtId="0" fontId="0" fillId="7" borderId="46" xfId="0" applyFill="1" applyBorder="1" applyProtection="1">
      <protection locked="0"/>
    </xf>
    <xf numFmtId="0" fontId="20" fillId="0" borderId="46" xfId="0" applyFont="1" applyFill="1" applyBorder="1" applyAlignment="1">
      <alignment horizontal="left"/>
    </xf>
    <xf numFmtId="0" fontId="29" fillId="21" borderId="62" xfId="0" applyFont="1" applyFill="1" applyBorder="1"/>
    <xf numFmtId="0" fontId="0" fillId="21" borderId="63" xfId="0" applyFill="1" applyBorder="1"/>
    <xf numFmtId="0" fontId="29" fillId="7" borderId="62" xfId="0" applyFont="1" applyFill="1" applyBorder="1"/>
    <xf numFmtId="49" fontId="0" fillId="7" borderId="63" xfId="0" applyNumberFormat="1" applyFont="1" applyFill="1" applyBorder="1" applyAlignment="1">
      <alignment horizontal="right"/>
    </xf>
    <xf numFmtId="0" fontId="29" fillId="19" borderId="62" xfId="0" applyFont="1" applyFill="1" applyBorder="1"/>
    <xf numFmtId="49" fontId="0" fillId="19" borderId="63" xfId="0" applyNumberFormat="1" applyFont="1" applyFill="1" applyBorder="1" applyAlignment="1">
      <alignment horizontal="right"/>
    </xf>
    <xf numFmtId="0" fontId="29" fillId="11" borderId="71" xfId="0" applyFont="1" applyFill="1" applyBorder="1" applyAlignment="1"/>
    <xf numFmtId="0" fontId="29" fillId="11" borderId="72" xfId="0" applyFont="1" applyFill="1" applyBorder="1" applyAlignment="1"/>
    <xf numFmtId="0" fontId="29" fillId="11" borderId="73" xfId="0" applyFont="1" applyFill="1" applyBorder="1" applyAlignment="1"/>
    <xf numFmtId="0" fontId="26" fillId="3" borderId="74" xfId="0" applyFont="1" applyFill="1" applyBorder="1"/>
    <xf numFmtId="0" fontId="26" fillId="3" borderId="75" xfId="0" applyFont="1" applyFill="1" applyBorder="1"/>
    <xf numFmtId="0" fontId="0" fillId="10" borderId="75" xfId="0" applyFont="1" applyFill="1" applyBorder="1"/>
    <xf numFmtId="0" fontId="0" fillId="10" borderId="76" xfId="0" applyFont="1" applyFill="1" applyBorder="1"/>
    <xf numFmtId="0" fontId="26" fillId="16" borderId="74" xfId="0" applyFont="1" applyFill="1" applyBorder="1"/>
    <xf numFmtId="0" fontId="26" fillId="16" borderId="75" xfId="0" applyFont="1" applyFill="1" applyBorder="1"/>
    <xf numFmtId="0" fontId="0" fillId="10" borderId="75" xfId="0" applyFill="1" applyBorder="1"/>
    <xf numFmtId="0" fontId="0" fillId="10" borderId="76" xfId="0" applyFill="1" applyBorder="1"/>
    <xf numFmtId="0" fontId="26" fillId="2" borderId="74" xfId="0" applyFont="1" applyFill="1" applyBorder="1" applyAlignment="1">
      <alignment horizontal="left" vertical="top"/>
    </xf>
    <xf numFmtId="0" fontId="26" fillId="2" borderId="75" xfId="0" applyFont="1" applyFill="1" applyBorder="1" applyAlignment="1">
      <alignment horizontal="left" vertical="top"/>
    </xf>
    <xf numFmtId="0" fontId="0" fillId="10" borderId="75" xfId="0" applyFont="1" applyFill="1" applyBorder="1" applyAlignment="1">
      <alignment horizontal="left"/>
    </xf>
    <xf numFmtId="0" fontId="0" fillId="10" borderId="76" xfId="0" applyFont="1" applyFill="1" applyBorder="1" applyAlignment="1">
      <alignment horizontal="left"/>
    </xf>
    <xf numFmtId="0" fontId="29" fillId="19" borderId="77" xfId="0" applyFont="1" applyFill="1" applyBorder="1" applyAlignment="1">
      <alignment horizontal="left"/>
    </xf>
    <xf numFmtId="0" fontId="29" fillId="19" borderId="78" xfId="0" applyFont="1" applyFill="1" applyBorder="1" applyAlignment="1">
      <alignment horizontal="left"/>
    </xf>
    <xf numFmtId="0" fontId="0" fillId="10" borderId="79" xfId="0" applyFill="1" applyBorder="1"/>
    <xf numFmtId="0" fontId="0" fillId="10" borderId="80" xfId="0" applyFont="1" applyFill="1" applyBorder="1"/>
    <xf numFmtId="0" fontId="29" fillId="5" borderId="0" xfId="0" applyFont="1" applyFill="1" applyBorder="1"/>
    <xf numFmtId="0" fontId="0" fillId="17" borderId="81" xfId="0" applyFill="1" applyBorder="1" applyProtection="1">
      <protection locked="0"/>
    </xf>
    <xf numFmtId="0" fontId="0" fillId="17" borderId="82" xfId="0" applyFill="1" applyBorder="1" applyProtection="1">
      <protection locked="0"/>
    </xf>
    <xf numFmtId="0" fontId="0" fillId="17" borderId="83" xfId="0" applyFill="1" applyBorder="1" applyProtection="1">
      <protection locked="0"/>
    </xf>
    <xf numFmtId="0" fontId="0" fillId="22" borderId="84" xfId="0" applyFont="1" applyFill="1" applyBorder="1" applyProtection="1">
      <protection locked="0"/>
    </xf>
    <xf numFmtId="0" fontId="0" fillId="22" borderId="0" xfId="0" applyFill="1" applyBorder="1" applyProtection="1">
      <protection locked="0"/>
    </xf>
    <xf numFmtId="0" fontId="0" fillId="22" borderId="85" xfId="0" applyFill="1" applyBorder="1" applyProtection="1">
      <protection locked="0"/>
    </xf>
    <xf numFmtId="0" fontId="0" fillId="13" borderId="84" xfId="0" applyFont="1" applyFill="1" applyBorder="1" applyProtection="1">
      <protection locked="0"/>
    </xf>
    <xf numFmtId="0" fontId="0" fillId="13" borderId="0" xfId="0" applyFill="1" applyBorder="1" applyProtection="1">
      <protection locked="0"/>
    </xf>
    <xf numFmtId="0" fontId="0" fillId="13" borderId="85" xfId="0" applyFill="1" applyBorder="1" applyProtection="1">
      <protection locked="0"/>
    </xf>
    <xf numFmtId="0" fontId="0" fillId="19" borderId="84" xfId="0" applyFont="1" applyFill="1" applyBorder="1"/>
    <xf numFmtId="0" fontId="0" fillId="19" borderId="0" xfId="0" applyFill="1" applyBorder="1"/>
    <xf numFmtId="0" fontId="0" fillId="19" borderId="85" xfId="0" applyFill="1" applyBorder="1"/>
    <xf numFmtId="0" fontId="0" fillId="7" borderId="84" xfId="0" applyFont="1" applyFill="1" applyBorder="1"/>
    <xf numFmtId="0" fontId="0" fillId="7" borderId="0" xfId="0" applyFill="1" applyBorder="1"/>
    <xf numFmtId="0" fontId="0" fillId="7" borderId="85" xfId="0" applyFill="1" applyBorder="1"/>
    <xf numFmtId="0" fontId="0" fillId="20" borderId="86" xfId="0" applyFont="1" applyFill="1" applyBorder="1" applyProtection="1">
      <protection locked="0"/>
    </xf>
    <xf numFmtId="0" fontId="0" fillId="20" borderId="87" xfId="0" applyFill="1" applyBorder="1" applyProtection="1">
      <protection locked="0"/>
    </xf>
    <xf numFmtId="0" fontId="0" fillId="20" borderId="88" xfId="0" applyFill="1" applyBorder="1" applyProtection="1">
      <protection locked="0"/>
    </xf>
    <xf numFmtId="0" fontId="29" fillId="5" borderId="87" xfId="0" applyFont="1" applyFill="1" applyBorder="1" applyAlignment="1">
      <alignment horizontal="left"/>
    </xf>
    <xf numFmtId="0" fontId="0" fillId="0" borderId="81" xfId="0" applyFont="1" applyFill="1" applyBorder="1" applyAlignment="1" applyProtection="1">
      <alignment horizontal="left"/>
      <protection locked="0"/>
    </xf>
    <xf numFmtId="0" fontId="0" fillId="0" borderId="82" xfId="0" applyFont="1" applyFill="1" applyBorder="1" applyAlignment="1" applyProtection="1">
      <alignment horizontal="left"/>
      <protection locked="0"/>
    </xf>
    <xf numFmtId="0" fontId="0" fillId="0" borderId="83" xfId="0" applyFont="1" applyFill="1" applyBorder="1" applyAlignment="1" applyProtection="1">
      <alignment horizontal="left"/>
      <protection locked="0"/>
    </xf>
    <xf numFmtId="0" fontId="0" fillId="18" borderId="86" xfId="0" applyFont="1" applyFill="1" applyBorder="1" applyAlignment="1" applyProtection="1">
      <alignment horizontal="left"/>
      <protection locked="0"/>
    </xf>
    <xf numFmtId="0" fontId="0" fillId="18" borderId="87" xfId="0" applyFont="1" applyFill="1" applyBorder="1" applyAlignment="1" applyProtection="1">
      <alignment horizontal="left"/>
      <protection locked="0"/>
    </xf>
    <xf numFmtId="0" fontId="0" fillId="18" borderId="88" xfId="0" applyFont="1" applyFill="1" applyBorder="1" applyAlignment="1" applyProtection="1">
      <alignment horizontal="left"/>
      <protection locked="0"/>
    </xf>
    <xf numFmtId="0" fontId="29" fillId="21" borderId="81" xfId="0" applyFont="1" applyFill="1" applyBorder="1" applyAlignment="1">
      <alignment horizontal="center"/>
    </xf>
    <xf numFmtId="0" fontId="29" fillId="21" borderId="83" xfId="0" applyFont="1" applyFill="1" applyBorder="1" applyAlignment="1">
      <alignment horizontal="center"/>
    </xf>
    <xf numFmtId="0" fontId="0" fillId="7" borderId="89" xfId="0" applyFont="1" applyFill="1" applyBorder="1" applyProtection="1">
      <protection locked="0"/>
    </xf>
    <xf numFmtId="0" fontId="0" fillId="8" borderId="90" xfId="0" applyFont="1" applyFill="1" applyBorder="1" applyProtection="1">
      <protection locked="0"/>
    </xf>
    <xf numFmtId="0" fontId="0" fillId="20" borderId="89" xfId="0" applyFont="1" applyFill="1" applyBorder="1" applyProtection="1">
      <protection locked="0"/>
    </xf>
    <xf numFmtId="0" fontId="0" fillId="23" borderId="90" xfId="0" applyFont="1" applyFill="1" applyBorder="1" applyProtection="1">
      <protection locked="0"/>
    </xf>
    <xf numFmtId="0" fontId="0" fillId="20" borderId="91" xfId="0" applyFont="1" applyFill="1" applyBorder="1" applyProtection="1">
      <protection locked="0"/>
    </xf>
    <xf numFmtId="0" fontId="0" fillId="23" borderId="92" xfId="0" applyFont="1" applyFill="1" applyBorder="1" applyProtection="1">
      <protection locked="0"/>
    </xf>
    <xf numFmtId="0" fontId="0" fillId="0" borderId="93" xfId="0" applyFill="1" applyBorder="1" applyAlignment="1" applyProtection="1">
      <alignment horizontal="right"/>
    </xf>
    <xf numFmtId="0" fontId="0" fillId="0" borderId="94" xfId="0" applyFill="1" applyBorder="1" applyAlignment="1" applyProtection="1">
      <alignment horizontal="right"/>
    </xf>
    <xf numFmtId="0" fontId="0" fillId="5" borderId="95" xfId="0" applyFont="1" applyFill="1" applyBorder="1" applyAlignment="1" applyProtection="1">
      <alignment horizontal="right"/>
    </xf>
    <xf numFmtId="0" fontId="0" fillId="5" borderId="96" xfId="0" applyFill="1" applyBorder="1" applyAlignment="1" applyProtection="1">
      <alignment horizontal="right"/>
    </xf>
    <xf numFmtId="0" fontId="29" fillId="5" borderId="0" xfId="0" applyFont="1" applyFill="1"/>
    <xf numFmtId="0" fontId="29" fillId="21" borderId="97" xfId="0" applyFont="1" applyFill="1" applyBorder="1" applyAlignment="1">
      <alignment horizontal="center"/>
    </xf>
    <xf numFmtId="0" fontId="29" fillId="21" borderId="98" xfId="0" applyFont="1" applyFill="1" applyBorder="1" applyAlignment="1">
      <alignment horizontal="center"/>
    </xf>
    <xf numFmtId="0" fontId="29" fillId="21" borderId="99" xfId="0" applyFont="1" applyFill="1" applyBorder="1" applyAlignment="1">
      <alignment horizontal="center"/>
    </xf>
    <xf numFmtId="0" fontId="0" fillId="16" borderId="93" xfId="0" applyFont="1" applyFill="1" applyBorder="1" applyProtection="1">
      <protection locked="0"/>
    </xf>
    <xf numFmtId="0" fontId="0" fillId="16" borderId="45" xfId="0" applyFont="1" applyFill="1" applyBorder="1" applyProtection="1">
      <protection locked="0"/>
    </xf>
    <xf numFmtId="0" fontId="0" fillId="16" borderId="94" xfId="0" applyFont="1" applyFill="1" applyBorder="1" applyProtection="1">
      <protection locked="0"/>
    </xf>
    <xf numFmtId="0" fontId="0" fillId="22" borderId="89" xfId="0" applyFont="1" applyFill="1" applyBorder="1" applyProtection="1">
      <protection locked="0"/>
    </xf>
    <xf numFmtId="0" fontId="0" fillId="22" borderId="46" xfId="0" applyFont="1" applyFill="1" applyBorder="1" applyProtection="1">
      <protection locked="0"/>
    </xf>
    <xf numFmtId="0" fontId="0" fillId="22" borderId="90" xfId="0" applyFont="1" applyFill="1" applyBorder="1" applyProtection="1">
      <protection locked="0"/>
    </xf>
    <xf numFmtId="0" fontId="0" fillId="22" borderId="91" xfId="0" applyFont="1" applyFill="1" applyBorder="1" applyProtection="1">
      <protection locked="0"/>
    </xf>
    <xf numFmtId="0" fontId="0" fillId="22" borderId="42" xfId="0" applyFont="1" applyFill="1" applyBorder="1" applyProtection="1">
      <protection locked="0"/>
    </xf>
    <xf numFmtId="0" fontId="0" fillId="22" borderId="92" xfId="0" applyFont="1" applyFill="1" applyBorder="1" applyProtection="1">
      <protection locked="0"/>
    </xf>
    <xf numFmtId="0" fontId="0" fillId="7" borderId="93" xfId="0" applyFont="1" applyFill="1" applyBorder="1" applyProtection="1">
      <protection locked="0"/>
    </xf>
    <xf numFmtId="0" fontId="0" fillId="7" borderId="45" xfId="0" applyFont="1" applyFill="1" applyBorder="1" applyProtection="1">
      <protection locked="0"/>
    </xf>
    <xf numFmtId="0" fontId="0" fillId="7" borderId="94" xfId="0" applyFont="1" applyFill="1" applyBorder="1" applyProtection="1">
      <protection locked="0"/>
    </xf>
    <xf numFmtId="0" fontId="0" fillId="0" borderId="95" xfId="0" applyFill="1" applyBorder="1" applyAlignment="1" applyProtection="1">
      <alignment horizontal="right"/>
    </xf>
    <xf numFmtId="0" fontId="0" fillId="0" borderId="100" xfId="0" applyFill="1" applyBorder="1" applyAlignment="1" applyProtection="1">
      <alignment horizontal="right"/>
      <protection locked="0"/>
    </xf>
    <xf numFmtId="0" fontId="0" fillId="0" borderId="100" xfId="0" applyFill="1" applyBorder="1" applyAlignment="1" applyProtection="1">
      <alignment horizontal="right"/>
    </xf>
    <xf numFmtId="0" fontId="0" fillId="0" borderId="96" xfId="0" applyFill="1" applyBorder="1" applyAlignment="1" applyProtection="1">
      <alignment horizontal="right"/>
    </xf>
    <xf numFmtId="0" fontId="28" fillId="0" borderId="42" xfId="0" applyFont="1" applyBorder="1" applyAlignment="1" applyProtection="1">
      <alignment horizontal="right"/>
      <protection locked="0"/>
    </xf>
    <xf numFmtId="0" fontId="0" fillId="0" borderId="42" xfId="0" applyFill="1" applyBorder="1" applyProtection="1">
      <protection locked="0"/>
    </xf>
    <xf numFmtId="0" fontId="0" fillId="0" borderId="42" xfId="0" applyFont="1" applyFill="1" applyBorder="1" applyAlignment="1" applyProtection="1">
      <alignment horizontal="right"/>
      <protection locked="0"/>
    </xf>
    <xf numFmtId="0" fontId="20" fillId="0" borderId="45" xfId="0" applyFont="1" applyFill="1" applyBorder="1" applyAlignment="1">
      <alignment horizontal="right"/>
    </xf>
    <xf numFmtId="0" fontId="0" fillId="0" borderId="46" xfId="0" applyFill="1" applyBorder="1" applyAlignment="1" applyProtection="1">
      <alignment horizontal="right"/>
      <protection locked="0"/>
    </xf>
    <xf numFmtId="0" fontId="0" fillId="7" borderId="42" xfId="0" applyFill="1" applyBorder="1" applyProtection="1">
      <protection locked="0"/>
    </xf>
    <xf numFmtId="0" fontId="0" fillId="0" borderId="45" xfId="0" applyBorder="1"/>
    <xf numFmtId="0" fontId="0" fillId="0" borderId="45" xfId="0" applyBorder="1" applyAlignment="1">
      <alignment horizontal="right"/>
    </xf>
    <xf numFmtId="0" fontId="0" fillId="19" borderId="45" xfId="0" applyFill="1" applyBorder="1" applyProtection="1">
      <protection locked="0"/>
    </xf>
    <xf numFmtId="0" fontId="0" fillId="22" borderId="45" xfId="0" applyFill="1" applyBorder="1" applyProtection="1">
      <protection locked="0"/>
    </xf>
    <xf numFmtId="0" fontId="0" fillId="7" borderId="45" xfId="0" applyFill="1" applyBorder="1" applyProtection="1">
      <protection locked="0"/>
    </xf>
    <xf numFmtId="0" fontId="0" fillId="22" borderId="42" xfId="0" applyFill="1" applyBorder="1" applyProtection="1">
      <protection locked="0"/>
    </xf>
    <xf numFmtId="0" fontId="20" fillId="0" borderId="42" xfId="0" applyFont="1" applyBorder="1" applyAlignment="1">
      <alignment horizontal="right"/>
    </xf>
    <xf numFmtId="0" fontId="20" fillId="0" borderId="45" xfId="0" applyFont="1" applyBorder="1" applyAlignment="1">
      <alignment horizontal="right"/>
    </xf>
    <xf numFmtId="0" fontId="20" fillId="0" borderId="9" xfId="0" applyFont="1" applyBorder="1" applyAlignment="1">
      <alignment horizontal="left"/>
    </xf>
    <xf numFmtId="0" fontId="0" fillId="0" borderId="9" xfId="0" applyBorder="1" applyProtection="1">
      <protection locked="0"/>
    </xf>
    <xf numFmtId="0" fontId="20" fillId="0" borderId="46" xfId="0" applyFont="1" applyBorder="1" applyAlignment="1">
      <alignment horizontal="left"/>
    </xf>
    <xf numFmtId="0" fontId="30" fillId="5" borderId="0" xfId="0" applyFont="1" applyFill="1"/>
    <xf numFmtId="0" fontId="0" fillId="0" borderId="45" xfId="0" applyFill="1" applyBorder="1"/>
    <xf numFmtId="0" fontId="0" fillId="0" borderId="69" xfId="0" applyFill="1" applyBorder="1" applyAlignment="1"/>
    <xf numFmtId="0" fontId="0" fillId="0" borderId="65" xfId="0" applyFill="1" applyBorder="1" applyAlignment="1"/>
    <xf numFmtId="0" fontId="0" fillId="0" borderId="101" xfId="0" applyFill="1" applyBorder="1" applyAlignment="1"/>
    <xf numFmtId="0" fontId="31" fillId="0" borderId="0" xfId="0" applyFont="1" applyFill="1" applyBorder="1" applyAlignment="1"/>
    <xf numFmtId="0" fontId="13" fillId="0" borderId="1" xfId="0" applyFont="1" applyBorder="1" applyAlignment="1"/>
    <xf numFmtId="0" fontId="0" fillId="2" borderId="102" xfId="0" applyFill="1" applyBorder="1"/>
    <xf numFmtId="0" fontId="11" fillId="2" borderId="2" xfId="0" applyFont="1" applyFill="1" applyBorder="1"/>
    <xf numFmtId="49" fontId="3" fillId="3" borderId="0" xfId="0" applyNumberFormat="1" applyFont="1" applyFill="1" applyBorder="1" applyAlignment="1" applyProtection="1">
      <alignment horizontal="right"/>
      <protection locked="0"/>
    </xf>
    <xf numFmtId="179" fontId="3" fillId="3" borderId="1" xfId="0" applyNumberFormat="1" applyFont="1" applyFill="1" applyBorder="1" applyAlignment="1" applyProtection="1">
      <protection locked="0"/>
    </xf>
    <xf numFmtId="0" fontId="0" fillId="2" borderId="103" xfId="0" applyFill="1" applyBorder="1"/>
    <xf numFmtId="0" fontId="32" fillId="2" borderId="0" xfId="0" applyFont="1" applyFill="1" applyBorder="1"/>
    <xf numFmtId="0" fontId="33" fillId="2" borderId="0" xfId="0" applyFont="1" applyFill="1" applyBorder="1"/>
    <xf numFmtId="0" fontId="0" fillId="4" borderId="1" xfId="0" applyFill="1" applyBorder="1" applyAlignment="1" applyProtection="1">
      <alignment horizontal="left"/>
      <protection locked="0"/>
    </xf>
    <xf numFmtId="0" fontId="32" fillId="2" borderId="103" xfId="0" applyFont="1" applyFill="1" applyBorder="1"/>
    <xf numFmtId="0" fontId="34" fillId="2" borderId="0" xfId="0" applyFont="1" applyFill="1" applyBorder="1" applyAlignment="1">
      <alignment horizontal="right"/>
    </xf>
    <xf numFmtId="9" fontId="35" fillId="2" borderId="0" xfId="0" applyNumberFormat="1" applyFont="1" applyFill="1" applyBorder="1" applyAlignment="1">
      <alignment horizontal="left" vertical="center"/>
    </xf>
    <xf numFmtId="0" fontId="34" fillId="2" borderId="103" xfId="0" applyFont="1" applyFill="1" applyBorder="1" applyAlignment="1">
      <alignment horizontal="right"/>
    </xf>
    <xf numFmtId="0" fontId="36" fillId="2" borderId="0" xfId="0" applyFont="1" applyFill="1" applyBorder="1" applyAlignment="1">
      <alignment horizontal="right"/>
    </xf>
    <xf numFmtId="9" fontId="37" fillId="2" borderId="0" xfId="0" applyNumberFormat="1" applyFont="1" applyFill="1" applyBorder="1" applyAlignment="1">
      <alignment horizontal="left" vertical="center"/>
    </xf>
    <xf numFmtId="0" fontId="0" fillId="4" borderId="104" xfId="0" applyFont="1" applyFill="1" applyBorder="1" applyAlignment="1">
      <alignment horizontal="left"/>
    </xf>
    <xf numFmtId="0" fontId="0" fillId="4" borderId="105" xfId="0" applyFont="1" applyFill="1" applyBorder="1" applyAlignment="1">
      <alignment horizontal="left"/>
    </xf>
    <xf numFmtId="0" fontId="0" fillId="5" borderId="106" xfId="0" applyFill="1" applyBorder="1"/>
    <xf numFmtId="0" fontId="8" fillId="2" borderId="107" xfId="0" applyFont="1" applyFill="1" applyBorder="1" applyAlignment="1">
      <alignment horizontal="right"/>
    </xf>
    <xf numFmtId="0" fontId="5" fillId="2" borderId="33" xfId="0" applyFont="1" applyFill="1" applyBorder="1" applyAlignment="1">
      <alignment horizontal="left"/>
    </xf>
    <xf numFmtId="0" fontId="0" fillId="24" borderId="108" xfId="0" applyFill="1" applyBorder="1"/>
    <xf numFmtId="0" fontId="0" fillId="2" borderId="108" xfId="0" applyFill="1" applyBorder="1"/>
    <xf numFmtId="0" fontId="25" fillId="0" borderId="26" xfId="0" applyFont="1" applyBorder="1" applyProtection="1">
      <protection locked="0"/>
    </xf>
    <xf numFmtId="0" fontId="38" fillId="3" borderId="109" xfId="0" applyFont="1" applyFill="1" applyBorder="1" applyAlignment="1">
      <alignment horizontal="center"/>
    </xf>
    <xf numFmtId="0" fontId="38" fillId="3" borderId="110" xfId="0" applyFont="1" applyFill="1" applyBorder="1" applyAlignment="1">
      <alignment horizontal="center"/>
    </xf>
    <xf numFmtId="0" fontId="25" fillId="0" borderId="111" xfId="0" applyFont="1" applyBorder="1" applyProtection="1">
      <protection locked="0"/>
    </xf>
    <xf numFmtId="0" fontId="10" fillId="25" borderId="12" xfId="0" applyFont="1" applyFill="1" applyBorder="1" applyAlignment="1" applyProtection="1">
      <alignment horizontal="center"/>
      <protection locked="0"/>
    </xf>
    <xf numFmtId="0" fontId="20" fillId="0" borderId="64" xfId="0" applyFont="1" applyBorder="1" applyProtection="1">
      <protection locked="0"/>
    </xf>
    <xf numFmtId="0" fontId="0" fillId="0" borderId="45" xfId="0" applyFont="1" applyBorder="1" applyProtection="1">
      <protection locked="0"/>
    </xf>
    <xf numFmtId="0" fontId="0" fillId="6" borderId="98" xfId="0" applyFill="1" applyBorder="1" applyProtection="1">
      <protection locked="0"/>
    </xf>
    <xf numFmtId="0" fontId="0" fillId="7" borderId="98" xfId="0" applyFill="1" applyBorder="1" applyProtection="1">
      <protection locked="0"/>
    </xf>
    <xf numFmtId="0" fontId="0" fillId="8" borderId="98" xfId="0" applyFill="1" applyBorder="1" applyProtection="1">
      <protection locked="0"/>
    </xf>
    <xf numFmtId="0" fontId="0" fillId="9" borderId="98" xfId="0" applyFill="1" applyBorder="1" applyProtection="1">
      <protection locked="0"/>
    </xf>
    <xf numFmtId="0" fontId="0" fillId="0" borderId="45" xfId="0" applyFont="1" applyFill="1" applyBorder="1" applyAlignment="1" applyProtection="1">
      <alignment horizontal="center"/>
      <protection locked="0"/>
    </xf>
    <xf numFmtId="0" fontId="20" fillId="0" borderId="45" xfId="0" applyFont="1" applyBorder="1" applyProtection="1">
      <protection locked="0"/>
    </xf>
    <xf numFmtId="0" fontId="0" fillId="6" borderId="45" xfId="0" applyFill="1" applyBorder="1" applyProtection="1">
      <protection locked="0"/>
    </xf>
    <xf numFmtId="0" fontId="0" fillId="8" borderId="45" xfId="0" applyFill="1" applyBorder="1" applyProtection="1">
      <protection locked="0"/>
    </xf>
    <xf numFmtId="0" fontId="0" fillId="9" borderId="45" xfId="0" applyFill="1" applyBorder="1" applyProtection="1">
      <protection locked="0"/>
    </xf>
    <xf numFmtId="0" fontId="0" fillId="2" borderId="112" xfId="0" applyFill="1" applyBorder="1"/>
    <xf numFmtId="0" fontId="0" fillId="5" borderId="113" xfId="0" applyFill="1" applyBorder="1"/>
    <xf numFmtId="0" fontId="39" fillId="2" borderId="0" xfId="0" applyFont="1" applyFill="1" applyBorder="1" applyAlignment="1">
      <alignment horizontal="left"/>
    </xf>
    <xf numFmtId="0" fontId="14" fillId="2" borderId="26" xfId="0" applyFont="1" applyFill="1" applyBorder="1" applyProtection="1">
      <protection locked="0"/>
    </xf>
    <xf numFmtId="0" fontId="39" fillId="2" borderId="0" xfId="0" applyFont="1" applyFill="1" applyBorder="1"/>
    <xf numFmtId="0" fontId="13" fillId="2" borderId="0" xfId="0" applyFont="1" applyFill="1" applyBorder="1" applyAlignment="1">
      <alignment horizontal="center"/>
    </xf>
    <xf numFmtId="0" fontId="13" fillId="2" borderId="26" xfId="0" applyFont="1" applyFill="1" applyBorder="1" applyAlignment="1">
      <alignment horizontal="center"/>
    </xf>
    <xf numFmtId="0" fontId="5" fillId="2" borderId="114" xfId="0" applyFont="1" applyFill="1" applyBorder="1" applyAlignment="1">
      <alignment horizontal="left"/>
    </xf>
    <xf numFmtId="0" fontId="0" fillId="2" borderId="115" xfId="0" applyFill="1" applyBorder="1"/>
    <xf numFmtId="0" fontId="12" fillId="0" borderId="0" xfId="0" applyFont="1"/>
    <xf numFmtId="0" fontId="40" fillId="0" borderId="0" xfId="0" applyFont="1"/>
    <xf numFmtId="0" fontId="41" fillId="0" borderId="0" xfId="0" applyFont="1"/>
    <xf numFmtId="0" fontId="42" fillId="26" borderId="0" xfId="0" applyFont="1" applyFill="1"/>
    <xf numFmtId="0" fontId="42" fillId="0" borderId="0" xfId="0" applyFont="1"/>
    <xf numFmtId="0" fontId="43" fillId="0" borderId="0" xfId="0" applyFont="1"/>
    <xf numFmtId="0" fontId="21" fillId="0" borderId="45" xfId="0" applyFont="1" applyBorder="1" applyProtection="1">
      <protection locked="0"/>
    </xf>
    <xf numFmtId="0" fontId="44" fillId="0" borderId="45" xfId="0" applyFont="1" applyBorder="1" applyAlignment="1" applyProtection="1">
      <alignment horizontal="right"/>
      <protection locked="0"/>
    </xf>
    <xf numFmtId="2" fontId="44" fillId="0" borderId="45" xfId="0" applyNumberFormat="1" applyFont="1" applyBorder="1" applyAlignment="1" applyProtection="1">
      <alignment horizontal="right"/>
      <protection locked="0"/>
    </xf>
    <xf numFmtId="0" fontId="45" fillId="5" borderId="0" xfId="0" applyFont="1" applyFill="1"/>
    <xf numFmtId="0" fontId="29" fillId="5" borderId="0" xfId="0" applyFont="1" applyFill="1" applyAlignment="1">
      <alignment horizontal="right"/>
    </xf>
    <xf numFmtId="0" fontId="46" fillId="5" borderId="0" xfId="0" applyFont="1" applyFill="1"/>
    <xf numFmtId="0" fontId="47" fillId="5" borderId="0" xfId="0" applyFont="1" applyFill="1" applyAlignment="1">
      <alignment horizontal="left"/>
    </xf>
    <xf numFmtId="0" fontId="48" fillId="0" borderId="0" xfId="0" applyFont="1"/>
    <xf numFmtId="0" fontId="49" fillId="26" borderId="0" xfId="0" applyFont="1" applyFill="1"/>
    <xf numFmtId="0" fontId="0" fillId="0" borderId="45" xfId="0" applyBorder="1" applyAlignment="1" applyProtection="1" quotePrefix="1">
      <alignment horizontal="right"/>
      <protection locked="0"/>
    </xf>
  </cellXfs>
  <cellStyles count="49">
    <cellStyle name="一般" xfId="0" builtinId="0"/>
    <cellStyle name="超連結" xfId="1" builtinId="8"/>
    <cellStyle name="20% - 輔色2" xfId="2" builtinId="34"/>
    <cellStyle name="千分位[0]" xfId="3" builtinId="6"/>
    <cellStyle name="千分位" xfId="4" builtinId="3"/>
    <cellStyle name="20% - 輔色1" xfId="5" builtinId="30"/>
    <cellStyle name="貨幣" xfId="6" builtinId="4"/>
    <cellStyle name="備註" xfId="7" builtinId="10"/>
    <cellStyle name="已瀏覽過的超連結" xfId="8" builtinId="9"/>
    <cellStyle name="百分比" xfId="9" builtinId="5"/>
    <cellStyle name="20% - 輔色5" xfId="10" builtinId="46"/>
    <cellStyle name="40% - 輔色3" xfId="11" builtinId="39"/>
    <cellStyle name="60% - 輔色1" xfId="12" builtinId="32"/>
    <cellStyle name="貨幣[0]" xfId="13" builtinId="7"/>
    <cellStyle name="警告文字" xfId="14" builtinId="11"/>
    <cellStyle name="標題" xfId="15" builtinId="15"/>
    <cellStyle name="說明文字" xfId="16" builtinId="53"/>
    <cellStyle name="40% - 輔色6" xfId="17" builtinId="51"/>
    <cellStyle name="60% - 輔色4" xfId="18" builtinId="44"/>
    <cellStyle name="標題 1" xfId="19" builtinId="16"/>
    <cellStyle name="60% - 輔色5" xfId="20" builtinId="48"/>
    <cellStyle name="標題 2" xfId="21" builtinId="17"/>
    <cellStyle name="60% - 輔色6" xfId="22" builtinId="52"/>
    <cellStyle name="標題 3" xfId="23" builtinId="18"/>
    <cellStyle name="標題 4" xfId="24" builtinId="19"/>
    <cellStyle name="好" xfId="25" builtinId="26"/>
    <cellStyle name="輸入" xfId="26" builtinId="20"/>
    <cellStyle name="輸出" xfId="27" builtinId="21"/>
    <cellStyle name="計算方式" xfId="28" builtinId="22"/>
    <cellStyle name="檢查儲存格" xfId="29" builtinId="23"/>
    <cellStyle name="連結的儲存格" xfId="30" builtinId="24"/>
    <cellStyle name="加總" xfId="31" builtinId="25"/>
    <cellStyle name="壞" xfId="32" builtinId="27"/>
    <cellStyle name="中性" xfId="33" builtinId="28"/>
    <cellStyle name="輔色1" xfId="34" builtinId="29"/>
    <cellStyle name="20% - 輔色3" xfId="35" builtinId="38"/>
    <cellStyle name="40% - 輔色1" xfId="36" builtinId="31"/>
    <cellStyle name="輔色2" xfId="37" builtinId="33"/>
    <cellStyle name="20% - 輔色4" xfId="38" builtinId="42"/>
    <cellStyle name="40% - 輔色2" xfId="39" builtinId="35"/>
    <cellStyle name="20% - 輔色6" xfId="40" builtinId="50"/>
    <cellStyle name="40% - 輔色4" xfId="41" builtinId="43"/>
    <cellStyle name="60% - 輔色2" xfId="42" builtinId="36"/>
    <cellStyle name="輔色3" xfId="43" builtinId="37"/>
    <cellStyle name="40% - 輔色5" xfId="44" builtinId="47"/>
    <cellStyle name="60% - 輔色3" xfId="45" builtinId="40"/>
    <cellStyle name="輔色4" xfId="46" builtinId="41"/>
    <cellStyle name="輔色5" xfId="47" builtinId="45"/>
    <cellStyle name="輔色6" xfId="48" builtinId="49"/>
  </cellStyles>
  <dxfs count="15">
    <dxf>
      <font>
        <b val="1"/>
        <i val="0"/>
        <color rgb="FFFFFFFF"/>
      </font>
      <fill>
        <patternFill patternType="solid">
          <bgColor rgb="FFFF0000"/>
        </patternFill>
      </fill>
    </dxf>
    <dxf>
      <font>
        <b val="0"/>
        <i val="0"/>
        <color theme="3"/>
      </font>
      <fill>
        <patternFill patternType="solid">
          <bgColor theme="7" tint="0.799981688894314"/>
        </patternFill>
      </fill>
      <border>
        <left style="thin">
          <color auto="1"/>
        </left>
        <top style="thin">
          <color auto="1"/>
        </top>
      </border>
    </dxf>
    <dxf>
      <font>
        <b val="1"/>
        <i val="0"/>
        <color auto="1"/>
      </font>
      <fill>
        <patternFill patternType="solid">
          <bgColor theme="0" tint="0.599963377788629"/>
        </patternFill>
      </fill>
    </dxf>
    <dxf>
      <font>
        <b val="0"/>
        <i val="1"/>
        <color theme="2"/>
      </font>
    </dxf>
    <dxf>
      <fill>
        <patternFill patternType="solid">
          <bgColor theme="2" tint="0.599963377788629"/>
        </patternFill>
      </fill>
    </dxf>
    <dxf>
      <font>
        <b val="1"/>
        <i val="0"/>
        <color theme="1"/>
      </font>
      <fill>
        <patternFill patternType="solid">
          <bgColor rgb="FFFF7C80"/>
        </patternFill>
      </fill>
    </dxf>
    <dxf>
      <font>
        <b val="1"/>
        <i val="0"/>
        <color theme="7" tint="-0.499984740745262"/>
      </font>
      <fill>
        <patternFill patternType="solid">
          <bgColor rgb="FFFFCC99"/>
        </patternFill>
      </fill>
    </dxf>
    <dxf>
      <font>
        <b val="1"/>
        <i val="0"/>
        <color indexed="9"/>
      </font>
      <fill>
        <patternFill patternType="solid">
          <bgColor theme="7"/>
        </patternFill>
      </fill>
    </dxf>
    <dxf>
      <font>
        <b val="1"/>
        <i val="0"/>
        <color theme="7" tint="-0.499984740745262"/>
      </font>
      <fill>
        <patternFill patternType="none"/>
      </fill>
    </dxf>
    <dxf>
      <font>
        <b val="1"/>
        <i val="0"/>
        <color auto="1"/>
      </font>
      <fill>
        <patternFill patternType="solid">
          <bgColor rgb="FFFF7C80"/>
        </patternFill>
      </fill>
    </dxf>
    <dxf>
      <font>
        <b val="1"/>
        <i val="0"/>
        <color theme="3"/>
      </font>
      <fill>
        <patternFill patternType="darkGray">
          <fgColor indexed="9"/>
          <bgColor indexed="22"/>
        </patternFill>
      </fill>
    </dxf>
    <dxf>
      <font>
        <b val="1"/>
        <i val="0"/>
        <color theme="7" tint="-0.499984740745262"/>
      </font>
      <fill>
        <patternFill patternType="none"/>
      </fill>
    </dxf>
    <dxf>
      <font>
        <b val="1"/>
        <i val="0"/>
        <color auto="1"/>
      </font>
      <fill>
        <patternFill patternType="solid">
          <bgColor rgb="FFFF7C80"/>
        </patternFill>
      </fill>
    </dxf>
    <dxf>
      <font>
        <b val="1"/>
        <i val="0"/>
        <color indexed="9"/>
      </font>
      <fill>
        <patternFill patternType="solid">
          <bgColor indexed="10"/>
        </patternFill>
      </fill>
    </dxf>
    <dxf>
      <font>
        <b val="1"/>
        <i val="0"/>
        <color indexed="16"/>
      </font>
    </dxf>
  </dxfs>
  <tableStyles count="0" defaultTableStyle="TableStyleMedium2" defaultPivotStyle="PivotStyleLight16"/>
  <colors>
    <mruColors>
      <color rgb="00FFFFFF"/>
      <color rgb="00FF7C80"/>
      <color rgb="00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17</xdr:col>
      <xdr:colOff>19050</xdr:colOff>
      <xdr:row>6</xdr:row>
      <xdr:rowOff>0</xdr:rowOff>
    </xdr:from>
    <xdr:to>
      <xdr:col>22</xdr:col>
      <xdr:colOff>19050</xdr:colOff>
      <xdr:row>138</xdr:row>
      <xdr:rowOff>152400</xdr:rowOff>
    </xdr:to>
    <xdr:sp>
      <xdr:nvSpPr>
        <xdr:cNvPr id="1028" name="Rectangle 4"/>
        <xdr:cNvSpPr>
          <a:spLocks noChangeArrowheads="1"/>
        </xdr:cNvSpPr>
      </xdr:nvSpPr>
      <xdr:spPr>
        <a:xfrm>
          <a:off x="13039725" y="1003935"/>
          <a:ext cx="3171825" cy="220186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22"/>
          </a:solidFill>
          <a:miter lim="800000"/>
        </a:ln>
      </xdr:spPr>
      <xdr:txBody>
        <a:bodyPr vertOverflow="clip" wrap="square" lIns="27432" tIns="22860" rIns="0" bIns="0" anchor="t" upright="1"/>
        <a:lstStyle/>
        <a:p>
          <a:pPr algn="l" rtl="0">
            <a:defRPr sz="1000"/>
          </a:pPr>
          <a:r>
            <a:rPr lang="en-US" sz="1000" b="0" i="0" u="none" strike="noStrike" baseline="0">
              <a:solidFill>
                <a:srgbClr val="969696"/>
              </a:solidFill>
              <a:latin typeface="Arial" panose="020B0604020202020204"/>
              <a:cs typeface="Arial" panose="020B0604020202020204"/>
            </a:rPr>
            <a:t>Computational Space</a:t>
          </a:r>
          <a:endParaRPr lang="en-US"/>
        </a:p>
      </xdr:txBody>
    </xdr:sp>
    <xdr:clientData/>
  </xdr:twoCellAnchor>
  <xdr:twoCellAnchor>
    <xdr:from>
      <xdr:col>0</xdr:col>
      <xdr:colOff>0</xdr:colOff>
      <xdr:row>137</xdr:row>
      <xdr:rowOff>19050</xdr:rowOff>
    </xdr:from>
    <xdr:to>
      <xdr:col>1</xdr:col>
      <xdr:colOff>600075</xdr:colOff>
      <xdr:row>145</xdr:row>
      <xdr:rowOff>9525</xdr:rowOff>
    </xdr:to>
    <xdr:sp>
      <xdr:nvSpPr>
        <xdr:cNvPr id="1261" name="Rectangle 13"/>
        <xdr:cNvSpPr>
          <a:spLocks noChangeArrowheads="1"/>
        </xdr:cNvSpPr>
      </xdr:nvSpPr>
      <xdr:spPr>
        <a:xfrm>
          <a:off x="0" y="22731730"/>
          <a:ext cx="2926080" cy="12503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xmlns:a14="http://schemas.microsoft.com/office/drawing/2010/main" val="000000" mc:Ignorable="a14" a14:legacySpreadsheetColorIndex="64"/>
              </a:solidFill>
              <a:miter lim="800000"/>
              <a:headEnd/>
              <a:tailEnd/>
            </a14:hiddenLine>
          </a:ext>
        </a:extLst>
      </xdr:spPr>
    </xdr:sp>
    <xdr:clientData/>
  </xdr:twoCellAnchor>
  <xdr:twoCellAnchor editAs="oneCell">
    <xdr:from>
      <xdr:col>3</xdr:col>
      <xdr:colOff>0</xdr:colOff>
      <xdr:row>0</xdr:row>
      <xdr:rowOff>47625</xdr:rowOff>
    </xdr:from>
    <xdr:to>
      <xdr:col>4</xdr:col>
      <xdr:colOff>514350</xdr:colOff>
      <xdr:row>3</xdr:row>
      <xdr:rowOff>0</xdr:rowOff>
    </xdr:to>
    <xdr:pic>
      <xdr:nvPicPr>
        <xdr:cNvPr id="1262" name="Picture 2"/>
        <xdr:cNvPicPr>
          <a:picLocks noChangeAspect="1"/>
        </xdr:cNvPicPr>
      </xdr:nvPicPr>
      <xdr:blipFill>
        <a:blip r:embed="rId1">
          <a:extLst>
            <a:ext uri="{28A0092B-C50C-407E-A947-70E740481C1C}">
              <a14:useLocalDpi xmlns:a14="http://schemas.microsoft.com/office/drawing/2010/main" val="0"/>
            </a:ext>
          </a:extLst>
        </a:blip>
        <a:srcRect/>
        <a:stretch>
          <a:fillRect/>
        </a:stretch>
      </xdr:blipFill>
      <xdr:spPr>
        <a:xfrm>
          <a:off x="3826510" y="47625"/>
          <a:ext cx="1239520" cy="52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9</xdr:col>
      <xdr:colOff>66675</xdr:colOff>
      <xdr:row>3</xdr:row>
      <xdr:rowOff>28575</xdr:rowOff>
    </xdr:from>
    <xdr:to>
      <xdr:col>10</xdr:col>
      <xdr:colOff>409575</xdr:colOff>
      <xdr:row>5</xdr:row>
      <xdr:rowOff>123825</xdr:rowOff>
    </xdr:to>
    <xdr:pic>
      <xdr:nvPicPr>
        <xdr:cNvPr id="2127" name="Picture 2"/>
        <xdr:cNvPicPr>
          <a:picLocks noChangeAspect="1"/>
        </xdr:cNvPicPr>
      </xdr:nvPicPr>
      <xdr:blipFill>
        <a:blip r:embed="rId1">
          <a:extLst>
            <a:ext uri="{28A0092B-C50C-407E-A947-70E740481C1C}">
              <a14:useLocalDpi xmlns:a14="http://schemas.microsoft.com/office/drawing/2010/main" val="0"/>
            </a:ext>
          </a:extLst>
        </a:blip>
        <a:srcRect/>
        <a:stretch>
          <a:fillRect/>
        </a:stretch>
      </xdr:blipFill>
      <xdr:spPr>
        <a:xfrm>
          <a:off x="7065010" y="568960"/>
          <a:ext cx="977265" cy="412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ublic\Sifos\PSA3000\Results\192.168.221.105\psa_report_qa.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Limits"/>
      <sheetName val="Notes 4.x.x"/>
      <sheetName val="Interop"/>
      <sheetName val="Adtran"/>
      <sheetName val="Alcatel6850"/>
      <sheetName val="ATx610"/>
      <sheetName val="AT9000"/>
      <sheetName val="Avaya3524"/>
      <sheetName val="Brcm59101_AC"/>
      <sheetName val="Brcm59101_DC"/>
      <sheetName val="Brcm59111"/>
      <sheetName val="Brcm59121"/>
      <sheetName val="Brcm_LLDP"/>
      <sheetName val="Brcm_4Pair"/>
      <sheetName val="Buffalo2116"/>
      <sheetName val="Cisco2960"/>
      <sheetName val="Cisco2960C"/>
      <sheetName val="Cisco3560"/>
      <sheetName val="Cisco3560CX"/>
      <sheetName val="Cisco3560X"/>
      <sheetName val="Cisco3750E"/>
      <sheetName val="Cisco3750X"/>
      <sheetName val="Cisco3850"/>
      <sheetName val="Cisco9300_2p"/>
      <sheetName val="Cisco9400_2p"/>
      <sheetName val="Cisco_MS220"/>
      <sheetName val="Comtrol_7510"/>
      <sheetName val="Consentry"/>
      <sheetName val="Dell"/>
      <sheetName val="DLink"/>
      <sheetName val="HP2620"/>
      <sheetName val="HP2910"/>
      <sheetName val="HP5120"/>
      <sheetName val="Juni4300"/>
      <sheetName val="LanTech"/>
      <sheetName val="LT4263_ES"/>
      <sheetName val="LT4263_MS"/>
      <sheetName val="LT4266"/>
      <sheetName val="LT4266A"/>
      <sheetName val="LT4270"/>
      <sheetName val="LT4290"/>
      <sheetName val="LT4291"/>
      <sheetName val="Maxim5945_DC"/>
      <sheetName val="Maxim5952_AC"/>
      <sheetName val="Maxim5952_DC"/>
      <sheetName val="Maxim5965_AC"/>
      <sheetName val="Maxim5965_DC"/>
      <sheetName val="Maxim5980"/>
      <sheetName val="Micrel"/>
      <sheetName val="MNO_M5"/>
      <sheetName val="Molex"/>
      <sheetName val="Netgear726"/>
      <sheetName val="Netgear5212"/>
      <sheetName val="Nortel470"/>
      <sheetName val="Nortel5520"/>
      <sheetName val="PD6001"/>
      <sheetName val="PD64xxx"/>
      <sheetName val="PD690xx"/>
      <sheetName val="PD691xx_60W"/>
      <sheetName val="PD692xx"/>
      <sheetName val="PD69208T_2p"/>
      <sheetName val="Planet2400"/>
      <sheetName val="Planet24040"/>
      <sheetName val="Robbins"/>
      <sheetName val="Si3458"/>
      <sheetName val="Si3461"/>
      <sheetName val="TI2384"/>
      <sheetName val="TI23861"/>
      <sheetName val="TI2388"/>
      <sheetName val="TI23881_2p"/>
      <sheetName val="TI23882"/>
      <sheetName val="TI_FirmPse_2p"/>
      <sheetName val="TIPR415_AC"/>
      <sheetName val="TIPR415_DC"/>
      <sheetName val="TrendTg44"/>
      <sheetName val="Tyco_PD"/>
      <sheetName val="Westermo"/>
      <sheetName val="Westermo_212A"/>
      <sheetName val="Zyxel"/>
      <sheetName val="Summary Table- Type-1"/>
      <sheetName val="Summary Table- Type-2"/>
      <sheetName val="Alcatel6600"/>
      <sheetName val="AT8524"/>
      <sheetName val="Cisco6500"/>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Set>
  </externalBook>
</externalLink>
</file>

<file path=xl/theme/theme1.xml><?xml version="1.0" encoding="utf-8"?>
<a:theme xmlns:a="http://schemas.openxmlformats.org/drawingml/2006/main" name="Office Theme">
  <a:themeElements>
    <a:clrScheme name="Sifos Literature">
      <a:dk1>
        <a:srgbClr val="000000"/>
      </a:dk1>
      <a:lt1>
        <a:srgbClr val="595959"/>
      </a:lt1>
      <a:dk2>
        <a:srgbClr val="00254B"/>
      </a:dk2>
      <a:lt2>
        <a:srgbClr val="185679"/>
      </a:lt2>
      <a:accent1>
        <a:srgbClr val="0059B2"/>
      </a:accent1>
      <a:accent2>
        <a:srgbClr val="7ABEE4"/>
      </a:accent2>
      <a:accent3>
        <a:srgbClr val="7A89E3"/>
      </a:accent3>
      <a:accent4>
        <a:srgbClr val="B25900"/>
      </a:accent4>
      <a:accent5>
        <a:srgbClr val="92B7CC"/>
      </a:accent5>
      <a:accent6>
        <a:srgbClr val="0094B2"/>
      </a:accent6>
      <a:hlink>
        <a:srgbClr val="7FBFFF"/>
      </a:hlink>
      <a:folHlink>
        <a:srgbClr val="92B7CC"/>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spPr>
      <a:bodyPr vertOverflow="clip" wrap="square" lIns="18288" tIns="0" rIns="0" bIns="0" upright="1"/>
      <a:lstStyle/>
    </a:lnDef>
    <a:txDef>
      <a:spPr>
        <a:solidFill>
          <a:srgbClr val="FFFFFF"/>
        </a:solidFill>
        <a:ln w="9525" cmpd="sng">
          <a:solidFill>
            <a:schemeClr val="tx1"/>
          </a:solidFill>
        </a:ln>
      </a:spPr>
      <a:bodyPr vertOverflow="clip" horzOverflow="clip" wrap="square" rtlCol="0" anchor="t"/>
      <a:lstStyle>
        <a:defPPr>
          <a:defRPr sz="1100"/>
        </a:defPPr>
      </a:lstStyle>
      <a:style>
        <a:lnRef idx="0">
          <a:scrgbClr r="0" g="0" b="0"/>
        </a:lnRef>
        <a:fillRef idx="0">
          <a:scrgbClr r="0" g="0" b="0"/>
        </a:fillRef>
        <a:effectRef idx="0">
          <a:scrgbClr r="0" g="0" b="0"/>
        </a:effectRef>
        <a:fontRef idx="minor">
          <a:schemeClr val="dk1"/>
        </a:fontRef>
      </a:style>
    </a:tx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W145"/>
  <sheetViews>
    <sheetView tabSelected="1" workbookViewId="0">
      <selection activeCell="A1" sqref="A1:B1"/>
    </sheetView>
  </sheetViews>
  <sheetFormatPr defaultColWidth="9" defaultRowHeight="12.4"/>
  <cols>
    <col min="1" max="1" width="33" customWidth="1"/>
    <col min="2" max="2" width="9.28828828828829" customWidth="1"/>
    <col min="3" max="3" width="12" customWidth="1"/>
    <col min="4" max="6" width="10.2882882882883" customWidth="1"/>
    <col min="7" max="7" width="11" customWidth="1"/>
    <col min="8" max="8" width="7.28828828828829" customWidth="1"/>
    <col min="9" max="9" width="11" customWidth="1"/>
    <col min="10" max="10" width="7.28828828828829" customWidth="1"/>
  </cols>
  <sheetData>
    <row r="1" ht="17.55" spans="1:12">
      <c r="A1" s="301" t="s">
        <v>0</v>
      </c>
      <c r="B1" s="302"/>
      <c r="C1" s="146"/>
      <c r="D1" s="303"/>
      <c r="E1" s="4"/>
      <c r="F1" s="4"/>
      <c r="G1" s="304" t="str">
        <f>IF(BT="NO","802.3at Conformance Report","802.3bt 2Pr Conformance Report")</f>
        <v>802.3at Conformance Report</v>
      </c>
      <c r="H1" s="4"/>
      <c r="I1" s="4"/>
      <c r="J1" s="340"/>
      <c r="K1" s="341"/>
      <c r="L1" s="24"/>
    </row>
    <row r="2" ht="12" customHeight="1" spans="1:12">
      <c r="A2" s="305" t="s">
        <v>1</v>
      </c>
      <c r="B2" s="306">
        <v>0.41875</v>
      </c>
      <c r="C2" s="146"/>
      <c r="D2" s="307"/>
      <c r="E2" s="14"/>
      <c r="F2" s="14"/>
      <c r="G2" s="308"/>
      <c r="H2" s="309"/>
      <c r="I2" s="342" t="s">
        <v>2</v>
      </c>
      <c r="J2" s="343" t="s">
        <v>3</v>
      </c>
      <c r="K2" s="341"/>
      <c r="L2" s="24"/>
    </row>
    <row r="3" ht="15.75" customHeight="1" spans="1:12">
      <c r="A3" s="12" t="s">
        <v>4</v>
      </c>
      <c r="B3" s="310">
        <v>1</v>
      </c>
      <c r="C3" s="146"/>
      <c r="D3" s="311"/>
      <c r="E3" s="312" t="s">
        <v>5</v>
      </c>
      <c r="F3" s="312"/>
      <c r="G3" s="313" t="str">
        <f>IF(PD_Pwr="Type-1","15.4 Watt",IF(PD_Pwr="Type-2","30 Watt "&amp;HighPwrGrant,""))</f>
        <v>15.4 Watt</v>
      </c>
      <c r="H3" s="313"/>
      <c r="I3" s="344" t="s">
        <v>6</v>
      </c>
      <c r="J3" s="57"/>
      <c r="K3" s="341"/>
      <c r="L3" s="24"/>
    </row>
    <row r="4" ht="15" customHeight="1" spans="1:12">
      <c r="A4" s="12" t="s">
        <v>7</v>
      </c>
      <c r="B4" s="310">
        <v>1</v>
      </c>
      <c r="C4" s="146"/>
      <c r="D4" s="314" t="s">
        <v>8</v>
      </c>
      <c r="E4" s="312"/>
      <c r="F4" s="315"/>
      <c r="G4" s="316">
        <f>IF(Test_Count&gt;15,Index,"N/A")</f>
        <v>0.960352422907489</v>
      </c>
      <c r="H4" s="316"/>
      <c r="I4" s="345" t="s">
        <v>9</v>
      </c>
      <c r="J4" s="346"/>
      <c r="K4" s="341"/>
      <c r="L4" s="24"/>
    </row>
    <row r="5" ht="13.5" customHeight="1" spans="1:21">
      <c r="A5" s="317" t="s">
        <v>10</v>
      </c>
      <c r="B5" s="318"/>
      <c r="C5" s="319"/>
      <c r="D5" s="320" t="s">
        <v>11</v>
      </c>
      <c r="E5" s="321" t="s">
        <v>12</v>
      </c>
      <c r="F5" s="321"/>
      <c r="G5" s="321"/>
      <c r="H5" s="321"/>
      <c r="I5" s="321"/>
      <c r="J5" s="347"/>
      <c r="K5" s="341"/>
      <c r="L5" s="24"/>
      <c r="R5" s="349"/>
      <c r="S5" s="349"/>
      <c r="T5" s="349"/>
      <c r="U5" s="349"/>
    </row>
    <row r="6" ht="5.25" customHeight="1" spans="1:21">
      <c r="A6" s="322"/>
      <c r="B6" s="322"/>
      <c r="C6" s="323"/>
      <c r="D6" s="323"/>
      <c r="E6" s="323"/>
      <c r="F6" s="323"/>
      <c r="G6" s="323"/>
      <c r="H6" s="323"/>
      <c r="I6" s="323"/>
      <c r="J6" s="348"/>
      <c r="K6" s="24"/>
      <c r="L6" s="24"/>
      <c r="R6" s="350"/>
      <c r="S6" s="350"/>
      <c r="T6" s="350"/>
      <c r="U6" s="350"/>
    </row>
    <row r="7" ht="15" spans="1:23">
      <c r="A7" s="324" t="s">
        <v>13</v>
      </c>
      <c r="B7" s="325" t="str">
        <f>"PSA-"&amp;PSA&amp;" Ports"</f>
        <v>PSA-3000 Ports</v>
      </c>
      <c r="C7" s="326"/>
      <c r="D7" s="27"/>
      <c r="E7" s="28"/>
      <c r="F7" s="29"/>
      <c r="G7" s="30" t="s">
        <v>14</v>
      </c>
      <c r="H7" s="31" t="s">
        <v>15</v>
      </c>
      <c r="I7" s="58" t="s">
        <v>16</v>
      </c>
      <c r="J7" s="31" t="s">
        <v>15</v>
      </c>
      <c r="K7" s="24"/>
      <c r="L7" s="24"/>
      <c r="Q7" s="351"/>
      <c r="R7" s="352"/>
      <c r="S7" s="352"/>
      <c r="T7" s="352" t="s">
        <v>17</v>
      </c>
      <c r="U7" s="352"/>
      <c r="V7" s="353"/>
      <c r="W7" s="354"/>
    </row>
    <row r="8" ht="14.45" spans="1:23">
      <c r="A8" s="327" t="s">
        <v>18</v>
      </c>
      <c r="B8" s="328" t="s">
        <v>19</v>
      </c>
      <c r="C8" s="33" t="s">
        <v>20</v>
      </c>
      <c r="D8" s="34" t="s">
        <v>21</v>
      </c>
      <c r="E8" s="35" t="s">
        <v>22</v>
      </c>
      <c r="F8" s="36" t="s">
        <v>23</v>
      </c>
      <c r="G8" s="34" t="s">
        <v>24</v>
      </c>
      <c r="H8" s="37"/>
      <c r="I8" s="35" t="s">
        <v>24</v>
      </c>
      <c r="J8" s="37"/>
      <c r="K8" s="24"/>
      <c r="L8" s="24"/>
      <c r="Q8" s="351"/>
      <c r="R8" s="352" t="s">
        <v>25</v>
      </c>
      <c r="S8" s="352" t="s">
        <v>26</v>
      </c>
      <c r="T8" s="352" t="s">
        <v>27</v>
      </c>
      <c r="U8" s="352" t="s">
        <v>28</v>
      </c>
      <c r="V8" s="352" t="s">
        <v>29</v>
      </c>
      <c r="W8" s="354"/>
    </row>
    <row r="9" ht="13.05" spans="1:23">
      <c r="A9" s="329" t="s">
        <v>30</v>
      </c>
      <c r="B9" s="330"/>
      <c r="C9" s="331"/>
      <c r="D9" s="332" t="str">
        <f t="shared" ref="D9:D40" si="0">IF(C9="","",MIN(B9:B9))</f>
        <v/>
      </c>
      <c r="E9" s="333" t="str">
        <f t="shared" ref="E9:E40" si="1">IF(C9="","",MAX(B9:B9))</f>
        <v/>
      </c>
      <c r="F9" s="334" t="str">
        <f>IF(C9="","",IF(C9="    N/A","",IF(COUNTIF(B9:B9,"&gt;-1")&gt;0,ROUND((SUM(B9:B9)+COUNTIF(B9:B9,-1))/COUNTIF(B9:B9,"&gt;-1"),V9),ROUND(AVERAGE(B9:B9),V9))))</f>
        <v/>
      </c>
      <c r="G9" s="289" t="str">
        <f t="shared" ref="G9:G40" si="2">IF(F9="","",IF(VLOOKUP(A9,Test_Limits,2,FALSE)="","",VLOOKUP(A9,Test_Limits,2,FALSE)))</f>
        <v/>
      </c>
      <c r="H9" s="335" t="str">
        <f t="shared" ref="H9:H40" si="3">IF(G9="","",IF(D9&lt;G9,IF(VLOOKUP(A9,Test_Limits,5,FALSE)="PF","Fail","Info"),"Pass"))</f>
        <v/>
      </c>
      <c r="I9" s="338" t="str">
        <f t="shared" ref="I9:I40" si="4">IF(F9="","",IF(VLOOKUP(A9,Test_Limits,3,FALSE)="","",VLOOKUP(A9,Test_Limits,3,FALSE)))</f>
        <v/>
      </c>
      <c r="J9" s="335" t="str">
        <f t="shared" ref="J9:J40" si="5">IF(I9="","",IF(E9&gt;I9,IF(VLOOKUP(A9,Test_Limits,5,FALSE)="PF","Fail","Info"),"Pass"))</f>
        <v/>
      </c>
      <c r="K9" s="24"/>
      <c r="L9" s="24"/>
      <c r="Q9" s="351"/>
      <c r="R9" s="352">
        <f>IF(H9="Info",G9,IF(J9="Info",G9,-1000000))</f>
        <v>-1000000</v>
      </c>
      <c r="S9" s="352">
        <f>IF(H9="Info",I9,IF(J9="Info",I9,1000000))</f>
        <v>1000000</v>
      </c>
      <c r="T9" s="352">
        <f t="shared" ref="T9:T40" si="6">IF(F9="",0,VLOOKUP(A9,Test_Limits,7,FALSE))</f>
        <v>0</v>
      </c>
      <c r="U9" s="352">
        <f>IF(H9="Pass",IF(J9="Pass",T9,0),0)</f>
        <v>0</v>
      </c>
      <c r="V9" s="353" t="e">
        <f t="shared" ref="V9:V40" si="7">VLOOKUP(A9,Test_Limits,6,FALSE)</f>
        <v>#N/A</v>
      </c>
      <c r="W9" s="354"/>
    </row>
    <row r="10" ht="13.05" spans="1:23">
      <c r="A10" s="336" t="s">
        <v>31</v>
      </c>
      <c r="B10" s="330">
        <v>25.07</v>
      </c>
      <c r="C10" s="337" t="s">
        <v>32</v>
      </c>
      <c r="D10" s="289">
        <f t="shared" si="0"/>
        <v>25.07</v>
      </c>
      <c r="E10" s="338">
        <f t="shared" si="1"/>
        <v>25.07</v>
      </c>
      <c r="F10" s="339">
        <f>IF(C10="","",IF(C10="    N/A","",IF(COUNTIF(B10:B10,"&gt;-1")&gt;0,ROUND((SUM(B10:B10)+COUNTIF(B10:B10,-1))/COUNTIF(B10:B10,"&gt;-1"),V10),ROUND(AVERAGE(B10:B10),V10))))</f>
        <v>25.07</v>
      </c>
      <c r="G10" s="289">
        <f t="shared" si="2"/>
        <v>2.8</v>
      </c>
      <c r="H10" s="335" t="str">
        <f t="shared" si="3"/>
        <v>Pass</v>
      </c>
      <c r="I10" s="338">
        <f t="shared" si="4"/>
        <v>30</v>
      </c>
      <c r="J10" s="335" t="str">
        <f t="shared" si="5"/>
        <v>Pass</v>
      </c>
      <c r="K10" s="24"/>
      <c r="L10" s="24"/>
      <c r="Q10" s="351"/>
      <c r="R10" s="352">
        <f t="shared" ref="R10:R73" si="8">IF(H10="Info",G10,IF(J10="Info",G10,-1000000))</f>
        <v>-1000000</v>
      </c>
      <c r="S10" s="352">
        <f t="shared" ref="S10:S73" si="9">IF(H10="Info",I10,IF(J10="Info",I10,1000000))</f>
        <v>1000000</v>
      </c>
      <c r="T10" s="352">
        <f t="shared" si="6"/>
        <v>3</v>
      </c>
      <c r="U10" s="352">
        <f t="shared" ref="U10:U73" si="10">IF(H10="Pass",IF(J10="Pass",T10,0),0)</f>
        <v>3</v>
      </c>
      <c r="V10" s="353">
        <f t="shared" si="7"/>
        <v>2</v>
      </c>
      <c r="W10" s="354"/>
    </row>
    <row r="11" ht="13.05" spans="1:23">
      <c r="A11" s="336" t="s">
        <v>33</v>
      </c>
      <c r="B11" s="330">
        <v>7.14</v>
      </c>
      <c r="C11" s="337" t="s">
        <v>32</v>
      </c>
      <c r="D11" s="289">
        <f t="shared" si="0"/>
        <v>7.14</v>
      </c>
      <c r="E11" s="338">
        <f t="shared" si="1"/>
        <v>7.14</v>
      </c>
      <c r="F11" s="339">
        <f t="shared" ref="F11:F74" si="11">IF(C11="","",IF(C11="    N/A","",IF(COUNTIF(B11:B11,"&gt;-1")&gt;0,ROUND((SUM(B11:B11)+COUNTIF(B11:B11,-1))/COUNTIF(B11:B11,"&gt;-1"),V11),ROUND(AVERAGE(B11:B11),V11))))</f>
        <v>7.1</v>
      </c>
      <c r="G11" s="289">
        <f t="shared" si="2"/>
        <v>3.8</v>
      </c>
      <c r="H11" s="335" t="str">
        <f t="shared" si="3"/>
        <v>Pass</v>
      </c>
      <c r="I11" s="338">
        <f t="shared" si="4"/>
        <v>10</v>
      </c>
      <c r="J11" s="335" t="str">
        <f t="shared" si="5"/>
        <v>Pass</v>
      </c>
      <c r="K11" s="24"/>
      <c r="L11" s="24"/>
      <c r="Q11" s="351"/>
      <c r="R11" s="352">
        <f t="shared" si="8"/>
        <v>-1000000</v>
      </c>
      <c r="S11" s="352">
        <f t="shared" si="9"/>
        <v>1000000</v>
      </c>
      <c r="T11" s="352">
        <f t="shared" si="6"/>
        <v>5</v>
      </c>
      <c r="U11" s="352">
        <f t="shared" si="10"/>
        <v>5</v>
      </c>
      <c r="V11" s="353">
        <f t="shared" si="7"/>
        <v>1</v>
      </c>
      <c r="W11" s="354"/>
    </row>
    <row r="12" ht="13.05" spans="1:23">
      <c r="A12" s="336" t="s">
        <v>34</v>
      </c>
      <c r="B12" s="330">
        <v>4.57</v>
      </c>
      <c r="C12" s="337" t="s">
        <v>32</v>
      </c>
      <c r="D12" s="289">
        <f t="shared" si="0"/>
        <v>4.57</v>
      </c>
      <c r="E12" s="338">
        <f t="shared" si="1"/>
        <v>4.57</v>
      </c>
      <c r="F12" s="339">
        <f t="shared" si="11"/>
        <v>4.6</v>
      </c>
      <c r="G12" s="289">
        <f t="shared" si="2"/>
        <v>2.8</v>
      </c>
      <c r="H12" s="335" t="str">
        <f t="shared" si="3"/>
        <v>Pass</v>
      </c>
      <c r="I12" s="338">
        <f t="shared" si="4"/>
        <v>9</v>
      </c>
      <c r="J12" s="335" t="str">
        <f t="shared" si="5"/>
        <v>Pass</v>
      </c>
      <c r="K12" s="24"/>
      <c r="L12" s="24"/>
      <c r="Q12" s="351"/>
      <c r="R12" s="352">
        <f t="shared" si="8"/>
        <v>-1000000</v>
      </c>
      <c r="S12" s="352">
        <f t="shared" si="9"/>
        <v>1000000</v>
      </c>
      <c r="T12" s="352">
        <f t="shared" si="6"/>
        <v>5</v>
      </c>
      <c r="U12" s="352">
        <f t="shared" si="10"/>
        <v>5</v>
      </c>
      <c r="V12" s="353">
        <f t="shared" si="7"/>
        <v>1</v>
      </c>
      <c r="W12" s="354"/>
    </row>
    <row r="13" ht="13.05" spans="1:23">
      <c r="A13" s="336" t="s">
        <v>35</v>
      </c>
      <c r="B13" s="330">
        <v>2.51</v>
      </c>
      <c r="C13" s="337" t="s">
        <v>32</v>
      </c>
      <c r="D13" s="289">
        <f t="shared" si="0"/>
        <v>2.51</v>
      </c>
      <c r="E13" s="338">
        <f t="shared" si="1"/>
        <v>2.51</v>
      </c>
      <c r="F13" s="339">
        <f t="shared" si="11"/>
        <v>2.5</v>
      </c>
      <c r="G13" s="289">
        <f t="shared" si="2"/>
        <v>1</v>
      </c>
      <c r="H13" s="335" t="str">
        <f t="shared" si="3"/>
        <v>Pass</v>
      </c>
      <c r="I13" s="338">
        <f t="shared" si="4"/>
        <v>7.2</v>
      </c>
      <c r="J13" s="335" t="str">
        <f t="shared" si="5"/>
        <v>Pass</v>
      </c>
      <c r="K13" s="24"/>
      <c r="L13" s="24"/>
      <c r="Q13" s="351"/>
      <c r="R13" s="352">
        <f t="shared" si="8"/>
        <v>-1000000</v>
      </c>
      <c r="S13" s="352">
        <f t="shared" si="9"/>
        <v>1000000</v>
      </c>
      <c r="T13" s="352">
        <f t="shared" si="6"/>
        <v>5</v>
      </c>
      <c r="U13" s="352">
        <f t="shared" si="10"/>
        <v>5</v>
      </c>
      <c r="V13" s="353">
        <f t="shared" si="7"/>
        <v>1</v>
      </c>
      <c r="W13" s="354"/>
    </row>
    <row r="14" ht="13.05" spans="1:23">
      <c r="A14" s="336" t="s">
        <v>36</v>
      </c>
      <c r="B14" s="330">
        <v>0</v>
      </c>
      <c r="C14" s="337" t="s">
        <v>37</v>
      </c>
      <c r="D14" s="289">
        <f t="shared" si="0"/>
        <v>0</v>
      </c>
      <c r="E14" s="338">
        <f t="shared" si="1"/>
        <v>0</v>
      </c>
      <c r="F14" s="339">
        <f t="shared" si="11"/>
        <v>0</v>
      </c>
      <c r="G14" s="289">
        <f t="shared" si="2"/>
        <v>0</v>
      </c>
      <c r="H14" s="335" t="str">
        <f t="shared" si="3"/>
        <v>Pass</v>
      </c>
      <c r="I14" s="338">
        <f t="shared" si="4"/>
        <v>0.1</v>
      </c>
      <c r="J14" s="335" t="str">
        <f t="shared" si="5"/>
        <v>Pass</v>
      </c>
      <c r="K14" s="24"/>
      <c r="L14" s="24"/>
      <c r="Q14" s="351"/>
      <c r="R14" s="352">
        <f t="shared" si="8"/>
        <v>-1000000</v>
      </c>
      <c r="S14" s="352">
        <f t="shared" si="9"/>
        <v>1000000</v>
      </c>
      <c r="T14" s="352">
        <f t="shared" si="6"/>
        <v>1</v>
      </c>
      <c r="U14" s="352">
        <f t="shared" si="10"/>
        <v>1</v>
      </c>
      <c r="V14" s="353">
        <f t="shared" si="7"/>
        <v>4</v>
      </c>
      <c r="W14" s="354"/>
    </row>
    <row r="15" ht="13.05" spans="1:23">
      <c r="A15" s="336" t="s">
        <v>38</v>
      </c>
      <c r="B15" s="330">
        <v>3</v>
      </c>
      <c r="C15" s="337" t="s">
        <v>39</v>
      </c>
      <c r="D15" s="289">
        <f t="shared" si="0"/>
        <v>3</v>
      </c>
      <c r="E15" s="338">
        <f t="shared" si="1"/>
        <v>3</v>
      </c>
      <c r="F15" s="339">
        <f t="shared" si="11"/>
        <v>3</v>
      </c>
      <c r="G15" s="289">
        <f t="shared" si="2"/>
        <v>1</v>
      </c>
      <c r="H15" s="335" t="str">
        <f t="shared" si="3"/>
        <v>Pass</v>
      </c>
      <c r="I15" s="338">
        <f t="shared" si="4"/>
        <v>9</v>
      </c>
      <c r="J15" s="335" t="str">
        <f t="shared" si="5"/>
        <v>Pass</v>
      </c>
      <c r="K15" s="24"/>
      <c r="L15" s="24"/>
      <c r="Q15" s="351"/>
      <c r="R15" s="352">
        <f t="shared" si="8"/>
        <v>-1000000</v>
      </c>
      <c r="S15" s="352">
        <f t="shared" si="9"/>
        <v>1000000</v>
      </c>
      <c r="T15" s="352">
        <f t="shared" si="6"/>
        <v>5</v>
      </c>
      <c r="U15" s="352">
        <f t="shared" si="10"/>
        <v>5</v>
      </c>
      <c r="V15" s="353">
        <f t="shared" si="7"/>
        <v>1</v>
      </c>
      <c r="W15" s="354"/>
    </row>
    <row r="16" ht="13.05" spans="1:23">
      <c r="A16" s="336" t="s">
        <v>40</v>
      </c>
      <c r="B16" s="330">
        <v>0.4</v>
      </c>
      <c r="C16" s="337" t="s">
        <v>32</v>
      </c>
      <c r="D16" s="289">
        <f t="shared" si="0"/>
        <v>0.4</v>
      </c>
      <c r="E16" s="338">
        <f t="shared" si="1"/>
        <v>0.4</v>
      </c>
      <c r="F16" s="339">
        <f t="shared" si="11"/>
        <v>0.4</v>
      </c>
      <c r="G16" s="289">
        <f t="shared" si="2"/>
        <v>0</v>
      </c>
      <c r="H16" s="335" t="str">
        <f t="shared" si="3"/>
        <v>Pass</v>
      </c>
      <c r="I16" s="338">
        <f t="shared" si="4"/>
        <v>9</v>
      </c>
      <c r="J16" s="335" t="str">
        <f t="shared" si="5"/>
        <v>Pass</v>
      </c>
      <c r="K16" s="24"/>
      <c r="L16" s="24"/>
      <c r="Q16" s="351"/>
      <c r="R16" s="352">
        <f t="shared" si="8"/>
        <v>-1000000</v>
      </c>
      <c r="S16" s="352">
        <f t="shared" si="9"/>
        <v>1000000</v>
      </c>
      <c r="T16" s="352">
        <f t="shared" si="6"/>
        <v>1</v>
      </c>
      <c r="U16" s="352">
        <f t="shared" si="10"/>
        <v>1</v>
      </c>
      <c r="V16" s="353">
        <f t="shared" si="7"/>
        <v>1</v>
      </c>
      <c r="W16" s="354"/>
    </row>
    <row r="17" ht="13.05" spans="1:23">
      <c r="A17" s="336" t="s">
        <v>41</v>
      </c>
      <c r="B17" s="330">
        <v>0</v>
      </c>
      <c r="C17" s="337" t="s">
        <v>32</v>
      </c>
      <c r="D17" s="289">
        <f t="shared" si="0"/>
        <v>0</v>
      </c>
      <c r="E17" s="338">
        <f t="shared" si="1"/>
        <v>0</v>
      </c>
      <c r="F17" s="339">
        <f t="shared" si="11"/>
        <v>0</v>
      </c>
      <c r="G17" s="289">
        <f t="shared" si="2"/>
        <v>0</v>
      </c>
      <c r="H17" s="335" t="str">
        <f t="shared" si="3"/>
        <v>Pass</v>
      </c>
      <c r="I17" s="338">
        <f t="shared" si="4"/>
        <v>0.1</v>
      </c>
      <c r="J17" s="335" t="str">
        <f t="shared" si="5"/>
        <v>Pass</v>
      </c>
      <c r="K17" s="24"/>
      <c r="L17" s="24"/>
      <c r="Q17" s="351"/>
      <c r="R17" s="352">
        <f t="shared" si="8"/>
        <v>-1000000</v>
      </c>
      <c r="S17" s="352">
        <f t="shared" si="9"/>
        <v>1000000</v>
      </c>
      <c r="T17" s="352">
        <f t="shared" si="6"/>
        <v>0</v>
      </c>
      <c r="U17" s="352">
        <f t="shared" si="10"/>
        <v>0</v>
      </c>
      <c r="V17" s="353">
        <f t="shared" si="7"/>
        <v>1</v>
      </c>
      <c r="W17" s="354"/>
    </row>
    <row r="18" ht="13.05" spans="1:23">
      <c r="A18" s="336" t="s">
        <v>42</v>
      </c>
      <c r="B18" s="330">
        <v>11.46</v>
      </c>
      <c r="C18" s="337" t="s">
        <v>32</v>
      </c>
      <c r="D18" s="289">
        <f t="shared" si="0"/>
        <v>11.46</v>
      </c>
      <c r="E18" s="338">
        <f t="shared" si="1"/>
        <v>11.46</v>
      </c>
      <c r="F18" s="339">
        <f t="shared" si="11"/>
        <v>11.5</v>
      </c>
      <c r="G18" s="289">
        <f t="shared" si="2"/>
        <v>3.8</v>
      </c>
      <c r="H18" s="335" t="str">
        <f t="shared" si="3"/>
        <v>Pass</v>
      </c>
      <c r="I18" s="338">
        <f t="shared" si="4"/>
        <v>11</v>
      </c>
      <c r="J18" s="335" t="str">
        <f t="shared" si="5"/>
        <v>Info</v>
      </c>
      <c r="K18" s="24"/>
      <c r="L18" s="24"/>
      <c r="Q18" s="351"/>
      <c r="R18" s="352">
        <f t="shared" si="8"/>
        <v>3.8</v>
      </c>
      <c r="S18" s="352">
        <f t="shared" si="9"/>
        <v>11</v>
      </c>
      <c r="T18" s="352">
        <f t="shared" si="6"/>
        <v>1</v>
      </c>
      <c r="U18" s="352">
        <f t="shared" si="10"/>
        <v>0</v>
      </c>
      <c r="V18" s="353">
        <f t="shared" si="7"/>
        <v>1</v>
      </c>
      <c r="W18" s="354"/>
    </row>
    <row r="19" ht="13.05" spans="1:23">
      <c r="A19" s="336" t="s">
        <v>43</v>
      </c>
      <c r="B19" s="330">
        <v>0</v>
      </c>
      <c r="C19" s="337" t="s">
        <v>44</v>
      </c>
      <c r="D19" s="289">
        <f t="shared" si="0"/>
        <v>0</v>
      </c>
      <c r="E19" s="338">
        <f t="shared" si="1"/>
        <v>0</v>
      </c>
      <c r="F19" s="339">
        <f t="shared" si="11"/>
        <v>0</v>
      </c>
      <c r="G19" s="289">
        <f t="shared" si="2"/>
        <v>0</v>
      </c>
      <c r="H19" s="335" t="str">
        <f t="shared" si="3"/>
        <v>Pass</v>
      </c>
      <c r="I19" s="338">
        <f t="shared" si="4"/>
        <v>0</v>
      </c>
      <c r="J19" s="335" t="str">
        <f t="shared" si="5"/>
        <v>Pass</v>
      </c>
      <c r="K19" s="24"/>
      <c r="L19" s="24"/>
      <c r="Q19" s="351"/>
      <c r="R19" s="352">
        <f t="shared" si="8"/>
        <v>-1000000</v>
      </c>
      <c r="S19" s="352">
        <f t="shared" si="9"/>
        <v>1000000</v>
      </c>
      <c r="T19" s="352">
        <f t="shared" si="6"/>
        <v>0</v>
      </c>
      <c r="U19" s="352">
        <f t="shared" si="10"/>
        <v>0</v>
      </c>
      <c r="V19" s="353">
        <f t="shared" si="7"/>
        <v>0</v>
      </c>
      <c r="W19" s="354"/>
    </row>
    <row r="20" ht="13.05" spans="1:23">
      <c r="A20" s="336" t="s">
        <v>45</v>
      </c>
      <c r="B20" s="330">
        <v>0</v>
      </c>
      <c r="C20" s="337" t="s">
        <v>44</v>
      </c>
      <c r="D20" s="289">
        <f t="shared" si="0"/>
        <v>0</v>
      </c>
      <c r="E20" s="338">
        <f t="shared" si="1"/>
        <v>0</v>
      </c>
      <c r="F20" s="339">
        <f t="shared" si="11"/>
        <v>0</v>
      </c>
      <c r="G20" s="289">
        <f t="shared" si="2"/>
        <v>0</v>
      </c>
      <c r="H20" s="335" t="str">
        <f t="shared" si="3"/>
        <v>Pass</v>
      </c>
      <c r="I20" s="338">
        <f t="shared" si="4"/>
        <v>2</v>
      </c>
      <c r="J20" s="335" t="str">
        <f t="shared" si="5"/>
        <v>Pass</v>
      </c>
      <c r="K20" s="24"/>
      <c r="L20" s="24"/>
      <c r="Q20" s="351"/>
      <c r="R20" s="352">
        <f t="shared" si="8"/>
        <v>-1000000</v>
      </c>
      <c r="S20" s="352">
        <f t="shared" si="9"/>
        <v>1000000</v>
      </c>
      <c r="T20" s="352">
        <f t="shared" si="6"/>
        <v>3</v>
      </c>
      <c r="U20" s="352">
        <f t="shared" si="10"/>
        <v>3</v>
      </c>
      <c r="V20" s="353">
        <f t="shared" si="7"/>
        <v>0</v>
      </c>
      <c r="W20" s="354"/>
    </row>
    <row r="21" ht="13.05" spans="1:23">
      <c r="A21" s="336" t="s">
        <v>46</v>
      </c>
      <c r="B21" s="330"/>
      <c r="C21" s="337"/>
      <c r="D21" s="289" t="str">
        <f t="shared" si="0"/>
        <v/>
      </c>
      <c r="E21" s="338" t="str">
        <f t="shared" si="1"/>
        <v/>
      </c>
      <c r="F21" s="339" t="str">
        <f t="shared" si="11"/>
        <v/>
      </c>
      <c r="G21" s="289" t="str">
        <f t="shared" si="2"/>
        <v/>
      </c>
      <c r="H21" s="335" t="str">
        <f t="shared" si="3"/>
        <v/>
      </c>
      <c r="I21" s="338" t="str">
        <f t="shared" si="4"/>
        <v/>
      </c>
      <c r="J21" s="335" t="str">
        <f t="shared" si="5"/>
        <v/>
      </c>
      <c r="K21" s="24"/>
      <c r="L21" s="24"/>
      <c r="Q21" s="351"/>
      <c r="R21" s="352">
        <f t="shared" si="8"/>
        <v>-1000000</v>
      </c>
      <c r="S21" s="352">
        <f t="shared" si="9"/>
        <v>1000000</v>
      </c>
      <c r="T21" s="352">
        <f t="shared" si="6"/>
        <v>0</v>
      </c>
      <c r="U21" s="352">
        <f t="shared" si="10"/>
        <v>0</v>
      </c>
      <c r="V21" s="353" t="e">
        <f t="shared" si="7"/>
        <v>#N/A</v>
      </c>
      <c r="W21" s="354"/>
    </row>
    <row r="22" ht="13.05" spans="1:23">
      <c r="A22" s="336" t="s">
        <v>47</v>
      </c>
      <c r="B22" s="330">
        <v>0.2</v>
      </c>
      <c r="C22" s="337" t="s">
        <v>48</v>
      </c>
      <c r="D22" s="289">
        <f t="shared" si="0"/>
        <v>0.2</v>
      </c>
      <c r="E22" s="338">
        <f t="shared" si="1"/>
        <v>0.2</v>
      </c>
      <c r="F22" s="339">
        <f t="shared" si="11"/>
        <v>0.2</v>
      </c>
      <c r="G22" s="289">
        <f t="shared" si="2"/>
        <v>0</v>
      </c>
      <c r="H22" s="335" t="str">
        <f t="shared" si="3"/>
        <v>Pass</v>
      </c>
      <c r="I22" s="338">
        <f t="shared" si="4"/>
        <v>5</v>
      </c>
      <c r="J22" s="335" t="str">
        <f t="shared" si="5"/>
        <v>Pass</v>
      </c>
      <c r="K22" s="24"/>
      <c r="L22" s="24"/>
      <c r="Q22" s="351"/>
      <c r="R22" s="352">
        <f t="shared" si="8"/>
        <v>-1000000</v>
      </c>
      <c r="S22" s="352">
        <f t="shared" si="9"/>
        <v>1000000</v>
      </c>
      <c r="T22" s="352">
        <f t="shared" si="6"/>
        <v>1</v>
      </c>
      <c r="U22" s="352">
        <f t="shared" si="10"/>
        <v>1</v>
      </c>
      <c r="V22" s="353">
        <f t="shared" si="7"/>
        <v>2</v>
      </c>
      <c r="W22" s="354"/>
    </row>
    <row r="23" ht="13.05" spans="1:23">
      <c r="A23" s="336" t="s">
        <v>49</v>
      </c>
      <c r="B23" s="330">
        <v>0.2</v>
      </c>
      <c r="C23" s="337" t="s">
        <v>48</v>
      </c>
      <c r="D23" s="289">
        <f t="shared" si="0"/>
        <v>0.2</v>
      </c>
      <c r="E23" s="338">
        <f t="shared" si="1"/>
        <v>0.2</v>
      </c>
      <c r="F23" s="339">
        <f t="shared" si="11"/>
        <v>0.2</v>
      </c>
      <c r="G23" s="289">
        <f t="shared" si="2"/>
        <v>0</v>
      </c>
      <c r="H23" s="335" t="str">
        <f t="shared" si="3"/>
        <v>Pass</v>
      </c>
      <c r="I23" s="338">
        <f t="shared" si="4"/>
        <v>5</v>
      </c>
      <c r="J23" s="335" t="str">
        <f t="shared" si="5"/>
        <v>Pass</v>
      </c>
      <c r="K23" s="24"/>
      <c r="L23" s="24"/>
      <c r="Q23" s="351"/>
      <c r="R23" s="352">
        <f t="shared" si="8"/>
        <v>-1000000</v>
      </c>
      <c r="S23" s="352">
        <f t="shared" si="9"/>
        <v>1000000</v>
      </c>
      <c r="T23" s="352">
        <f t="shared" si="6"/>
        <v>1</v>
      </c>
      <c r="U23" s="352">
        <f t="shared" si="10"/>
        <v>1</v>
      </c>
      <c r="V23" s="353">
        <f t="shared" si="7"/>
        <v>2</v>
      </c>
      <c r="W23" s="354"/>
    </row>
    <row r="24" ht="13.05" spans="1:23">
      <c r="A24" s="336" t="s">
        <v>50</v>
      </c>
      <c r="B24" s="330"/>
      <c r="C24" s="337"/>
      <c r="D24" s="289" t="str">
        <f t="shared" si="0"/>
        <v/>
      </c>
      <c r="E24" s="338" t="str">
        <f t="shared" si="1"/>
        <v/>
      </c>
      <c r="F24" s="339" t="str">
        <f t="shared" si="11"/>
        <v/>
      </c>
      <c r="G24" s="289" t="str">
        <f t="shared" si="2"/>
        <v/>
      </c>
      <c r="H24" s="335" t="str">
        <f t="shared" si="3"/>
        <v/>
      </c>
      <c r="I24" s="338" t="str">
        <f t="shared" si="4"/>
        <v/>
      </c>
      <c r="J24" s="335" t="str">
        <f t="shared" si="5"/>
        <v/>
      </c>
      <c r="K24" s="24"/>
      <c r="L24" s="24"/>
      <c r="Q24" s="351"/>
      <c r="R24" s="352">
        <f t="shared" si="8"/>
        <v>-1000000</v>
      </c>
      <c r="S24" s="352">
        <f t="shared" si="9"/>
        <v>1000000</v>
      </c>
      <c r="T24" s="352">
        <f t="shared" si="6"/>
        <v>0</v>
      </c>
      <c r="U24" s="352">
        <f t="shared" si="10"/>
        <v>0</v>
      </c>
      <c r="V24" s="353" t="e">
        <f t="shared" si="7"/>
        <v>#N/A</v>
      </c>
      <c r="W24" s="354"/>
    </row>
    <row r="25" ht="13.05" spans="1:23">
      <c r="A25" s="336" t="s">
        <v>51</v>
      </c>
      <c r="B25" s="330">
        <v>29</v>
      </c>
      <c r="C25" s="337" t="s">
        <v>52</v>
      </c>
      <c r="D25" s="289">
        <f t="shared" si="0"/>
        <v>29</v>
      </c>
      <c r="E25" s="338">
        <f t="shared" si="1"/>
        <v>29</v>
      </c>
      <c r="F25" s="339">
        <f t="shared" si="11"/>
        <v>29</v>
      </c>
      <c r="G25" s="289">
        <f t="shared" si="2"/>
        <v>26</v>
      </c>
      <c r="H25" s="335" t="str">
        <f t="shared" si="3"/>
        <v>Pass</v>
      </c>
      <c r="I25" s="338">
        <f t="shared" si="4"/>
        <v>32</v>
      </c>
      <c r="J25" s="335" t="str">
        <f t="shared" si="5"/>
        <v>Pass</v>
      </c>
      <c r="K25" s="24"/>
      <c r="L25" s="24"/>
      <c r="Q25" s="351"/>
      <c r="R25" s="352">
        <f t="shared" si="8"/>
        <v>-1000000</v>
      </c>
      <c r="S25" s="352">
        <f t="shared" si="9"/>
        <v>1000000</v>
      </c>
      <c r="T25" s="352">
        <f t="shared" si="6"/>
        <v>5</v>
      </c>
      <c r="U25" s="352">
        <f t="shared" si="10"/>
        <v>5</v>
      </c>
      <c r="V25" s="353">
        <f t="shared" si="7"/>
        <v>1</v>
      </c>
      <c r="W25" s="354"/>
    </row>
    <row r="26" ht="13.05" spans="1:23">
      <c r="A26" s="336" t="s">
        <v>53</v>
      </c>
      <c r="B26" s="330">
        <v>17</v>
      </c>
      <c r="C26" s="337" t="s">
        <v>52</v>
      </c>
      <c r="D26" s="289">
        <f t="shared" si="0"/>
        <v>17</v>
      </c>
      <c r="E26" s="338">
        <f t="shared" si="1"/>
        <v>17</v>
      </c>
      <c r="F26" s="339">
        <f t="shared" si="11"/>
        <v>17</v>
      </c>
      <c r="G26" s="289">
        <f t="shared" si="2"/>
        <v>16</v>
      </c>
      <c r="H26" s="335" t="str">
        <f t="shared" si="3"/>
        <v>Pass</v>
      </c>
      <c r="I26" s="338">
        <f t="shared" si="4"/>
        <v>19</v>
      </c>
      <c r="J26" s="335" t="str">
        <f t="shared" si="5"/>
        <v>Pass</v>
      </c>
      <c r="K26" s="24"/>
      <c r="L26" s="24"/>
      <c r="Q26" s="351"/>
      <c r="R26" s="352">
        <f t="shared" si="8"/>
        <v>-1000000</v>
      </c>
      <c r="S26" s="352">
        <f t="shared" si="9"/>
        <v>1000000</v>
      </c>
      <c r="T26" s="352">
        <f t="shared" si="6"/>
        <v>5</v>
      </c>
      <c r="U26" s="352">
        <f t="shared" si="10"/>
        <v>5</v>
      </c>
      <c r="V26" s="353">
        <f t="shared" si="7"/>
        <v>1</v>
      </c>
      <c r="W26" s="354"/>
    </row>
    <row r="27" ht="13.05" spans="1:23">
      <c r="A27" s="336" t="s">
        <v>54</v>
      </c>
      <c r="B27" s="330">
        <v>29</v>
      </c>
      <c r="C27" s="337" t="s">
        <v>52</v>
      </c>
      <c r="D27" s="289">
        <f t="shared" si="0"/>
        <v>29</v>
      </c>
      <c r="E27" s="338">
        <f t="shared" si="1"/>
        <v>29</v>
      </c>
      <c r="F27" s="339">
        <f t="shared" si="11"/>
        <v>29</v>
      </c>
      <c r="G27" s="289">
        <f t="shared" si="2"/>
        <v>26</v>
      </c>
      <c r="H27" s="335" t="str">
        <f t="shared" si="3"/>
        <v>Pass</v>
      </c>
      <c r="I27" s="338">
        <f t="shared" si="4"/>
        <v>33</v>
      </c>
      <c r="J27" s="335" t="str">
        <f t="shared" si="5"/>
        <v>Pass</v>
      </c>
      <c r="K27" s="24"/>
      <c r="L27" s="24"/>
      <c r="Q27" s="351"/>
      <c r="R27" s="352">
        <f t="shared" si="8"/>
        <v>-1000000</v>
      </c>
      <c r="S27" s="352">
        <f t="shared" si="9"/>
        <v>1000000</v>
      </c>
      <c r="T27" s="352">
        <f t="shared" si="6"/>
        <v>3</v>
      </c>
      <c r="U27" s="352">
        <f t="shared" si="10"/>
        <v>3</v>
      </c>
      <c r="V27" s="353">
        <f t="shared" si="7"/>
        <v>1</v>
      </c>
      <c r="W27" s="354"/>
    </row>
    <row r="28" ht="13.05" spans="1:23">
      <c r="A28" s="336" t="s">
        <v>55</v>
      </c>
      <c r="B28" s="330">
        <v>0.1</v>
      </c>
      <c r="C28" s="337" t="s">
        <v>56</v>
      </c>
      <c r="D28" s="289">
        <f t="shared" si="0"/>
        <v>0.1</v>
      </c>
      <c r="E28" s="338">
        <f t="shared" si="1"/>
        <v>0.1</v>
      </c>
      <c r="F28" s="339">
        <f t="shared" si="11"/>
        <v>0.1</v>
      </c>
      <c r="G28" s="289">
        <f t="shared" si="2"/>
        <v>0</v>
      </c>
      <c r="H28" s="335" t="str">
        <f t="shared" si="3"/>
        <v>Pass</v>
      </c>
      <c r="I28" s="338">
        <f t="shared" si="4"/>
        <v>10</v>
      </c>
      <c r="J28" s="335" t="str">
        <f t="shared" si="5"/>
        <v>Pass</v>
      </c>
      <c r="K28" s="24"/>
      <c r="L28" s="24"/>
      <c r="Q28" s="351"/>
      <c r="R28" s="352">
        <f t="shared" si="8"/>
        <v>-1000000</v>
      </c>
      <c r="S28" s="352">
        <f t="shared" si="9"/>
        <v>1000000</v>
      </c>
      <c r="T28" s="352">
        <f t="shared" si="6"/>
        <v>3</v>
      </c>
      <c r="U28" s="352">
        <f t="shared" si="10"/>
        <v>3</v>
      </c>
      <c r="V28" s="353">
        <f t="shared" si="7"/>
        <v>1</v>
      </c>
      <c r="W28" s="354"/>
    </row>
    <row r="29" ht="13.05" spans="1:23">
      <c r="A29" s="336" t="s">
        <v>57</v>
      </c>
      <c r="B29" s="330">
        <v>0</v>
      </c>
      <c r="C29" s="337" t="s">
        <v>44</v>
      </c>
      <c r="D29" s="289">
        <f t="shared" si="0"/>
        <v>0</v>
      </c>
      <c r="E29" s="338">
        <f t="shared" si="1"/>
        <v>0</v>
      </c>
      <c r="F29" s="339">
        <f t="shared" si="11"/>
        <v>0</v>
      </c>
      <c r="G29" s="289">
        <f t="shared" si="2"/>
        <v>0</v>
      </c>
      <c r="H29" s="335" t="str">
        <f t="shared" si="3"/>
        <v>Pass</v>
      </c>
      <c r="I29" s="338">
        <f t="shared" si="4"/>
        <v>0</v>
      </c>
      <c r="J29" s="335" t="str">
        <f t="shared" si="5"/>
        <v>Pass</v>
      </c>
      <c r="K29" s="24"/>
      <c r="L29" s="24"/>
      <c r="Q29" s="351"/>
      <c r="R29" s="352">
        <f t="shared" si="8"/>
        <v>-1000000</v>
      </c>
      <c r="S29" s="352">
        <f t="shared" si="9"/>
        <v>1000000</v>
      </c>
      <c r="T29" s="352">
        <f t="shared" si="6"/>
        <v>3</v>
      </c>
      <c r="U29" s="352">
        <f t="shared" si="10"/>
        <v>3</v>
      </c>
      <c r="V29" s="353">
        <f t="shared" si="7"/>
        <v>1</v>
      </c>
      <c r="W29" s="354"/>
    </row>
    <row r="30" ht="13.05" spans="1:23">
      <c r="A30" s="336" t="s">
        <v>58</v>
      </c>
      <c r="B30" s="330"/>
      <c r="C30" s="337"/>
      <c r="D30" s="289" t="str">
        <f t="shared" si="0"/>
        <v/>
      </c>
      <c r="E30" s="338" t="str">
        <f t="shared" si="1"/>
        <v/>
      </c>
      <c r="F30" s="339" t="str">
        <f t="shared" si="11"/>
        <v/>
      </c>
      <c r="G30" s="289" t="str">
        <f t="shared" si="2"/>
        <v/>
      </c>
      <c r="H30" s="335" t="str">
        <f t="shared" si="3"/>
        <v/>
      </c>
      <c r="I30" s="338" t="str">
        <f t="shared" si="4"/>
        <v/>
      </c>
      <c r="J30" s="335" t="str">
        <f t="shared" si="5"/>
        <v/>
      </c>
      <c r="K30" s="24"/>
      <c r="L30" s="24"/>
      <c r="Q30" s="351"/>
      <c r="R30" s="352">
        <f t="shared" si="8"/>
        <v>-1000000</v>
      </c>
      <c r="S30" s="352">
        <f t="shared" si="9"/>
        <v>1000000</v>
      </c>
      <c r="T30" s="352">
        <f t="shared" si="6"/>
        <v>0</v>
      </c>
      <c r="U30" s="352">
        <f t="shared" si="10"/>
        <v>0</v>
      </c>
      <c r="V30" s="353" t="e">
        <f t="shared" si="7"/>
        <v>#N/A</v>
      </c>
      <c r="W30" s="354"/>
    </row>
    <row r="31" ht="13.05" spans="1:23">
      <c r="A31" s="336" t="s">
        <v>59</v>
      </c>
      <c r="B31" s="330">
        <v>63</v>
      </c>
      <c r="C31" s="337" t="s">
        <v>60</v>
      </c>
      <c r="D31" s="289">
        <f t="shared" si="0"/>
        <v>63</v>
      </c>
      <c r="E31" s="338">
        <f t="shared" si="1"/>
        <v>63</v>
      </c>
      <c r="F31" s="339">
        <f t="shared" si="11"/>
        <v>63</v>
      </c>
      <c r="G31" s="289">
        <f t="shared" si="2"/>
        <v>-1</v>
      </c>
      <c r="H31" s="335" t="str">
        <f t="shared" si="3"/>
        <v>Pass</v>
      </c>
      <c r="I31" s="338">
        <f t="shared" si="4"/>
        <v>1500</v>
      </c>
      <c r="J31" s="335" t="str">
        <f t="shared" si="5"/>
        <v>Pass</v>
      </c>
      <c r="K31" s="24"/>
      <c r="L31" s="24"/>
      <c r="Q31" s="351"/>
      <c r="R31" s="352">
        <f t="shared" si="8"/>
        <v>-1000000</v>
      </c>
      <c r="S31" s="352">
        <f t="shared" si="9"/>
        <v>1000000</v>
      </c>
      <c r="T31" s="352">
        <f t="shared" si="6"/>
        <v>1</v>
      </c>
      <c r="U31" s="352">
        <f t="shared" si="10"/>
        <v>1</v>
      </c>
      <c r="V31" s="353">
        <f t="shared" si="7"/>
        <v>1</v>
      </c>
      <c r="W31" s="354"/>
    </row>
    <row r="32" ht="13.05" spans="1:23">
      <c r="A32" s="336" t="s">
        <v>61</v>
      </c>
      <c r="B32" s="330">
        <v>63</v>
      </c>
      <c r="C32" s="337" t="s">
        <v>60</v>
      </c>
      <c r="D32" s="289">
        <f t="shared" si="0"/>
        <v>63</v>
      </c>
      <c r="E32" s="338">
        <f t="shared" si="1"/>
        <v>63</v>
      </c>
      <c r="F32" s="339">
        <f t="shared" si="11"/>
        <v>63</v>
      </c>
      <c r="G32" s="289">
        <f t="shared" si="2"/>
        <v>-1</v>
      </c>
      <c r="H32" s="335" t="str">
        <f t="shared" si="3"/>
        <v>Pass</v>
      </c>
      <c r="I32" s="338">
        <f t="shared" si="4"/>
        <v>1500</v>
      </c>
      <c r="J32" s="335" t="str">
        <f t="shared" si="5"/>
        <v>Pass</v>
      </c>
      <c r="K32" s="24"/>
      <c r="L32" s="24"/>
      <c r="Q32" s="351"/>
      <c r="R32" s="352">
        <f t="shared" si="8"/>
        <v>-1000000</v>
      </c>
      <c r="S32" s="352">
        <f t="shared" si="9"/>
        <v>1000000</v>
      </c>
      <c r="T32" s="352">
        <f t="shared" si="6"/>
        <v>1</v>
      </c>
      <c r="U32" s="352">
        <f t="shared" si="10"/>
        <v>1</v>
      </c>
      <c r="V32" s="353">
        <f t="shared" si="7"/>
        <v>1</v>
      </c>
      <c r="W32" s="354"/>
    </row>
    <row r="33" ht="13.05" spans="1:23">
      <c r="A33" s="336" t="s">
        <v>62</v>
      </c>
      <c r="B33" s="330">
        <v>0</v>
      </c>
      <c r="C33" s="337" t="s">
        <v>44</v>
      </c>
      <c r="D33" s="289">
        <f t="shared" si="0"/>
        <v>0</v>
      </c>
      <c r="E33" s="338">
        <f t="shared" si="1"/>
        <v>0</v>
      </c>
      <c r="F33" s="339">
        <f t="shared" si="11"/>
        <v>0</v>
      </c>
      <c r="G33" s="289">
        <f t="shared" si="2"/>
        <v>0</v>
      </c>
      <c r="H33" s="335" t="str">
        <f t="shared" si="3"/>
        <v>Pass</v>
      </c>
      <c r="I33" s="338">
        <f t="shared" si="4"/>
        <v>0</v>
      </c>
      <c r="J33" s="335" t="str">
        <f t="shared" si="5"/>
        <v>Pass</v>
      </c>
      <c r="K33" s="24"/>
      <c r="L33" s="24"/>
      <c r="Q33" s="351"/>
      <c r="R33" s="352">
        <f t="shared" si="8"/>
        <v>-1000000</v>
      </c>
      <c r="S33" s="352">
        <f t="shared" si="9"/>
        <v>1000000</v>
      </c>
      <c r="T33" s="352">
        <f t="shared" si="6"/>
        <v>1</v>
      </c>
      <c r="U33" s="352">
        <f t="shared" si="10"/>
        <v>1</v>
      </c>
      <c r="V33" s="353">
        <f t="shared" si="7"/>
        <v>0</v>
      </c>
      <c r="W33" s="354"/>
    </row>
    <row r="34" ht="13.05" spans="1:23">
      <c r="A34" s="336" t="s">
        <v>63</v>
      </c>
      <c r="B34" s="330">
        <v>344</v>
      </c>
      <c r="C34" s="337" t="s">
        <v>60</v>
      </c>
      <c r="D34" s="289">
        <f t="shared" si="0"/>
        <v>344</v>
      </c>
      <c r="E34" s="338">
        <f t="shared" si="1"/>
        <v>344</v>
      </c>
      <c r="F34" s="339">
        <f t="shared" si="11"/>
        <v>344</v>
      </c>
      <c r="G34" s="289">
        <f t="shared" si="2"/>
        <v>5</v>
      </c>
      <c r="H34" s="335" t="str">
        <f t="shared" si="3"/>
        <v>Pass</v>
      </c>
      <c r="I34" s="338">
        <f t="shared" si="4"/>
        <v>500</v>
      </c>
      <c r="J34" s="335" t="str">
        <f t="shared" si="5"/>
        <v>Pass</v>
      </c>
      <c r="K34" s="24"/>
      <c r="L34" s="24"/>
      <c r="Q34" s="351"/>
      <c r="R34" s="352">
        <f t="shared" si="8"/>
        <v>-1000000</v>
      </c>
      <c r="S34" s="352">
        <f t="shared" si="9"/>
        <v>1000000</v>
      </c>
      <c r="T34" s="352">
        <f t="shared" si="6"/>
        <v>1</v>
      </c>
      <c r="U34" s="352">
        <f t="shared" si="10"/>
        <v>1</v>
      </c>
      <c r="V34" s="353">
        <f t="shared" si="7"/>
        <v>1</v>
      </c>
      <c r="W34" s="354"/>
    </row>
    <row r="35" ht="13.05" spans="1:23">
      <c r="A35" s="336" t="s">
        <v>64</v>
      </c>
      <c r="B35" s="330">
        <v>348</v>
      </c>
      <c r="C35" s="337" t="s">
        <v>60</v>
      </c>
      <c r="D35" s="289">
        <f t="shared" si="0"/>
        <v>348</v>
      </c>
      <c r="E35" s="338">
        <f t="shared" si="1"/>
        <v>348</v>
      </c>
      <c r="F35" s="339">
        <f t="shared" si="11"/>
        <v>348</v>
      </c>
      <c r="G35" s="289">
        <f t="shared" si="2"/>
        <v>5</v>
      </c>
      <c r="H35" s="335" t="str">
        <f t="shared" si="3"/>
        <v>Pass</v>
      </c>
      <c r="I35" s="338">
        <f t="shared" si="4"/>
        <v>1000</v>
      </c>
      <c r="J35" s="335" t="str">
        <f t="shared" si="5"/>
        <v>Pass</v>
      </c>
      <c r="K35" s="24"/>
      <c r="L35" s="24"/>
      <c r="Q35" s="351"/>
      <c r="R35" s="352">
        <f t="shared" si="8"/>
        <v>-1000000</v>
      </c>
      <c r="S35" s="352">
        <f t="shared" si="9"/>
        <v>1000000</v>
      </c>
      <c r="T35" s="352">
        <f t="shared" si="6"/>
        <v>0</v>
      </c>
      <c r="U35" s="352">
        <f t="shared" si="10"/>
        <v>0</v>
      </c>
      <c r="V35" s="353">
        <f t="shared" si="7"/>
        <v>1</v>
      </c>
      <c r="W35" s="354"/>
    </row>
    <row r="36" ht="13.05" spans="1:23">
      <c r="A36" s="336" t="s">
        <v>65</v>
      </c>
      <c r="B36" s="330"/>
      <c r="C36" s="337"/>
      <c r="D36" s="289" t="str">
        <f t="shared" si="0"/>
        <v/>
      </c>
      <c r="E36" s="338" t="str">
        <f t="shared" si="1"/>
        <v/>
      </c>
      <c r="F36" s="339" t="str">
        <f t="shared" si="11"/>
        <v/>
      </c>
      <c r="G36" s="289" t="str">
        <f t="shared" si="2"/>
        <v/>
      </c>
      <c r="H36" s="335" t="str">
        <f t="shared" si="3"/>
        <v/>
      </c>
      <c r="I36" s="338" t="str">
        <f t="shared" si="4"/>
        <v/>
      </c>
      <c r="J36" s="335" t="str">
        <f t="shared" si="5"/>
        <v/>
      </c>
      <c r="K36" s="24"/>
      <c r="L36" s="24"/>
      <c r="Q36" s="351"/>
      <c r="R36" s="352">
        <f t="shared" si="8"/>
        <v>-1000000</v>
      </c>
      <c r="S36" s="352">
        <f t="shared" si="9"/>
        <v>1000000</v>
      </c>
      <c r="T36" s="352">
        <f t="shared" si="6"/>
        <v>0</v>
      </c>
      <c r="U36" s="352">
        <f t="shared" si="10"/>
        <v>0</v>
      </c>
      <c r="V36" s="353" t="e">
        <f t="shared" si="7"/>
        <v>#N/A</v>
      </c>
      <c r="W36" s="354"/>
    </row>
    <row r="37" ht="13.05" spans="1:23">
      <c r="A37" s="336" t="s">
        <v>66</v>
      </c>
      <c r="B37" s="330">
        <v>450</v>
      </c>
      <c r="C37" s="337" t="s">
        <v>67</v>
      </c>
      <c r="D37" s="289">
        <f t="shared" si="0"/>
        <v>450</v>
      </c>
      <c r="E37" s="338">
        <f t="shared" si="1"/>
        <v>450</v>
      </c>
      <c r="F37" s="339">
        <f t="shared" si="11"/>
        <v>450</v>
      </c>
      <c r="G37" s="289">
        <f t="shared" si="2"/>
        <v>45</v>
      </c>
      <c r="H37" s="335" t="str">
        <f t="shared" si="3"/>
        <v>Pass</v>
      </c>
      <c r="I37" s="338">
        <f t="shared" si="4"/>
        <v>2000</v>
      </c>
      <c r="J37" s="335" t="str">
        <f t="shared" si="5"/>
        <v>Pass</v>
      </c>
      <c r="K37" s="24"/>
      <c r="L37" s="24"/>
      <c r="Q37" s="351"/>
      <c r="R37" s="352">
        <f t="shared" si="8"/>
        <v>-1000000</v>
      </c>
      <c r="S37" s="352">
        <f t="shared" si="9"/>
        <v>1000000</v>
      </c>
      <c r="T37" s="352">
        <f t="shared" si="6"/>
        <v>1</v>
      </c>
      <c r="U37" s="352">
        <f t="shared" si="10"/>
        <v>1</v>
      </c>
      <c r="V37" s="353">
        <f t="shared" si="7"/>
        <v>1</v>
      </c>
      <c r="W37" s="354"/>
    </row>
    <row r="38" ht="13.05" spans="1:23">
      <c r="A38" s="336" t="s">
        <v>68</v>
      </c>
      <c r="B38" s="330"/>
      <c r="C38" s="337"/>
      <c r="D38" s="289" t="str">
        <f t="shared" si="0"/>
        <v/>
      </c>
      <c r="E38" s="338" t="str">
        <f t="shared" si="1"/>
        <v/>
      </c>
      <c r="F38" s="339" t="str">
        <f t="shared" si="11"/>
        <v/>
      </c>
      <c r="G38" s="289" t="str">
        <f t="shared" si="2"/>
        <v/>
      </c>
      <c r="H38" s="335" t="str">
        <f t="shared" si="3"/>
        <v/>
      </c>
      <c r="I38" s="338" t="str">
        <f t="shared" si="4"/>
        <v/>
      </c>
      <c r="J38" s="335" t="str">
        <f t="shared" si="5"/>
        <v/>
      </c>
      <c r="K38" s="24"/>
      <c r="L38" s="24"/>
      <c r="Q38" s="351"/>
      <c r="R38" s="352">
        <f t="shared" si="8"/>
        <v>-1000000</v>
      </c>
      <c r="S38" s="352">
        <f t="shared" si="9"/>
        <v>1000000</v>
      </c>
      <c r="T38" s="352">
        <f t="shared" si="6"/>
        <v>0</v>
      </c>
      <c r="U38" s="352">
        <f t="shared" si="10"/>
        <v>0</v>
      </c>
      <c r="V38" s="353" t="e">
        <f t="shared" si="7"/>
        <v>#N/A</v>
      </c>
      <c r="W38" s="354"/>
    </row>
    <row r="39" ht="13.05" spans="1:23">
      <c r="A39" s="336" t="s">
        <v>69</v>
      </c>
      <c r="B39" s="330">
        <v>18.9</v>
      </c>
      <c r="C39" s="337" t="s">
        <v>32</v>
      </c>
      <c r="D39" s="289">
        <f t="shared" si="0"/>
        <v>18.9</v>
      </c>
      <c r="E39" s="338">
        <f t="shared" si="1"/>
        <v>18.9</v>
      </c>
      <c r="F39" s="339">
        <f t="shared" si="11"/>
        <v>18.9</v>
      </c>
      <c r="G39" s="289">
        <f t="shared" si="2"/>
        <v>15.5</v>
      </c>
      <c r="H39" s="335" t="str">
        <f t="shared" si="3"/>
        <v>Pass</v>
      </c>
      <c r="I39" s="338">
        <f t="shared" si="4"/>
        <v>20.5</v>
      </c>
      <c r="J39" s="335" t="str">
        <f t="shared" si="5"/>
        <v>Pass</v>
      </c>
      <c r="K39" s="24"/>
      <c r="L39" s="24"/>
      <c r="Q39" s="351"/>
      <c r="R39" s="352">
        <f t="shared" si="8"/>
        <v>-1000000</v>
      </c>
      <c r="S39" s="352">
        <f t="shared" si="9"/>
        <v>1000000</v>
      </c>
      <c r="T39" s="352">
        <f t="shared" si="6"/>
        <v>5</v>
      </c>
      <c r="U39" s="352">
        <f t="shared" si="10"/>
        <v>5</v>
      </c>
      <c r="V39" s="353">
        <f t="shared" si="7"/>
        <v>1</v>
      </c>
      <c r="W39" s="354"/>
    </row>
    <row r="40" ht="13.05" spans="1:23">
      <c r="A40" s="336" t="s">
        <v>70</v>
      </c>
      <c r="B40" s="330">
        <v>18.8</v>
      </c>
      <c r="C40" s="337" t="s">
        <v>32</v>
      </c>
      <c r="D40" s="289">
        <f t="shared" si="0"/>
        <v>18.8</v>
      </c>
      <c r="E40" s="338">
        <f t="shared" si="1"/>
        <v>18.8</v>
      </c>
      <c r="F40" s="339">
        <f t="shared" si="11"/>
        <v>18.8</v>
      </c>
      <c r="G40" s="289">
        <f t="shared" si="2"/>
        <v>15.5</v>
      </c>
      <c r="H40" s="335" t="str">
        <f t="shared" si="3"/>
        <v>Pass</v>
      </c>
      <c r="I40" s="338">
        <f t="shared" si="4"/>
        <v>20.5</v>
      </c>
      <c r="J40" s="335" t="str">
        <f t="shared" si="5"/>
        <v>Pass</v>
      </c>
      <c r="K40" s="24"/>
      <c r="L40" s="24"/>
      <c r="Q40" s="351"/>
      <c r="R40" s="352">
        <f t="shared" si="8"/>
        <v>-1000000</v>
      </c>
      <c r="S40" s="352">
        <f t="shared" si="9"/>
        <v>1000000</v>
      </c>
      <c r="T40" s="352">
        <f t="shared" si="6"/>
        <v>5</v>
      </c>
      <c r="U40" s="352">
        <f t="shared" si="10"/>
        <v>5</v>
      </c>
      <c r="V40" s="353">
        <f t="shared" si="7"/>
        <v>1</v>
      </c>
      <c r="W40" s="354"/>
    </row>
    <row r="41" ht="13.05" spans="1:23">
      <c r="A41" s="336" t="s">
        <v>71</v>
      </c>
      <c r="B41" s="330"/>
      <c r="C41" s="337"/>
      <c r="D41" s="289" t="str">
        <f t="shared" ref="D41:D72" si="12">IF(C41="","",MIN(B41:B41))</f>
        <v/>
      </c>
      <c r="E41" s="338" t="str">
        <f t="shared" ref="E41:E72" si="13">IF(C41="","",MAX(B41:B41))</f>
        <v/>
      </c>
      <c r="F41" s="339" t="str">
        <f t="shared" si="11"/>
        <v/>
      </c>
      <c r="G41" s="289" t="str">
        <f t="shared" ref="G41:G72" si="14">IF(F41="","",IF(VLOOKUP(A41,Test_Limits,2,FALSE)="","",VLOOKUP(A41,Test_Limits,2,FALSE)))</f>
        <v/>
      </c>
      <c r="H41" s="335" t="str">
        <f t="shared" ref="H41:H72" si="15">IF(G41="","",IF(D41&lt;G41,IF(VLOOKUP(A41,Test_Limits,5,FALSE)="PF","Fail","Info"),"Pass"))</f>
        <v/>
      </c>
      <c r="I41" s="338" t="str">
        <f t="shared" ref="I41:I72" si="16">IF(F41="","",IF(VLOOKUP(A41,Test_Limits,3,FALSE)="","",VLOOKUP(A41,Test_Limits,3,FALSE)))</f>
        <v/>
      </c>
      <c r="J41" s="335" t="str">
        <f t="shared" ref="J41:J72" si="17">IF(I41="","",IF(E41&gt;I41,IF(VLOOKUP(A41,Test_Limits,5,FALSE)="PF","Fail","Info"),"Pass"))</f>
        <v/>
      </c>
      <c r="K41" s="24"/>
      <c r="L41" s="24"/>
      <c r="Q41" s="351"/>
      <c r="R41" s="352">
        <f t="shared" si="8"/>
        <v>-1000000</v>
      </c>
      <c r="S41" s="352">
        <f t="shared" si="9"/>
        <v>1000000</v>
      </c>
      <c r="T41" s="352">
        <f t="shared" ref="T41:T72" si="18">IF(F41="",0,VLOOKUP(A41,Test_Limits,7,FALSE))</f>
        <v>0</v>
      </c>
      <c r="U41" s="352">
        <f t="shared" si="10"/>
        <v>0</v>
      </c>
      <c r="V41" s="353" t="e">
        <f t="shared" ref="V41:V72" si="19">VLOOKUP(A41,Test_Limits,6,FALSE)</f>
        <v>#N/A</v>
      </c>
      <c r="W41" s="354"/>
    </row>
    <row r="42" ht="13.05" spans="1:23">
      <c r="A42" s="336" t="s">
        <v>72</v>
      </c>
      <c r="B42" s="330">
        <v>1</v>
      </c>
      <c r="C42" s="337" t="s">
        <v>44</v>
      </c>
      <c r="D42" s="289">
        <f t="shared" si="12"/>
        <v>1</v>
      </c>
      <c r="E42" s="338">
        <f t="shared" si="13"/>
        <v>1</v>
      </c>
      <c r="F42" s="339">
        <f t="shared" si="11"/>
        <v>1</v>
      </c>
      <c r="G42" s="289">
        <f t="shared" si="14"/>
        <v>0</v>
      </c>
      <c r="H42" s="335" t="str">
        <f t="shared" si="15"/>
        <v>Pass</v>
      </c>
      <c r="I42" s="338">
        <f t="shared" si="16"/>
        <v>1</v>
      </c>
      <c r="J42" s="335" t="str">
        <f t="shared" si="17"/>
        <v>Pass</v>
      </c>
      <c r="K42" s="24"/>
      <c r="L42" s="24"/>
      <c r="Q42" s="351"/>
      <c r="R42" s="352">
        <f t="shared" si="8"/>
        <v>-1000000</v>
      </c>
      <c r="S42" s="352">
        <f t="shared" si="9"/>
        <v>1000000</v>
      </c>
      <c r="T42" s="352">
        <f t="shared" si="18"/>
        <v>5</v>
      </c>
      <c r="U42" s="352">
        <f t="shared" si="10"/>
        <v>5</v>
      </c>
      <c r="V42" s="353">
        <f t="shared" si="19"/>
        <v>0</v>
      </c>
      <c r="W42" s="354"/>
    </row>
    <row r="43" ht="13.05" spans="1:23">
      <c r="A43" s="336" t="s">
        <v>73</v>
      </c>
      <c r="B43" s="330">
        <v>4.9</v>
      </c>
      <c r="C43" s="337" t="s">
        <v>60</v>
      </c>
      <c r="D43" s="289">
        <f t="shared" si="12"/>
        <v>4.9</v>
      </c>
      <c r="E43" s="338">
        <f t="shared" si="13"/>
        <v>4.9</v>
      </c>
      <c r="F43" s="339">
        <f t="shared" si="11"/>
        <v>4.9</v>
      </c>
      <c r="G43" s="289">
        <f t="shared" si="14"/>
        <v>5.6</v>
      </c>
      <c r="H43" s="335" t="str">
        <f t="shared" si="15"/>
        <v>Fail</v>
      </c>
      <c r="I43" s="338">
        <f t="shared" si="16"/>
        <v>75</v>
      </c>
      <c r="J43" s="335" t="str">
        <f t="shared" si="17"/>
        <v>Pass</v>
      </c>
      <c r="K43" s="24"/>
      <c r="L43" s="24"/>
      <c r="Q43" s="351"/>
      <c r="R43" s="352">
        <f t="shared" si="8"/>
        <v>-1000000</v>
      </c>
      <c r="S43" s="352">
        <f t="shared" si="9"/>
        <v>1000000</v>
      </c>
      <c r="T43" s="352">
        <f t="shared" si="18"/>
        <v>5</v>
      </c>
      <c r="U43" s="352">
        <f t="shared" si="10"/>
        <v>0</v>
      </c>
      <c r="V43" s="353">
        <f t="shared" si="19"/>
        <v>1</v>
      </c>
      <c r="W43" s="354"/>
    </row>
    <row r="44" ht="13.05" spans="1:23">
      <c r="A44" s="336" t="s">
        <v>74</v>
      </c>
      <c r="B44" s="330"/>
      <c r="C44" s="337"/>
      <c r="D44" s="289" t="str">
        <f t="shared" si="12"/>
        <v/>
      </c>
      <c r="E44" s="338" t="str">
        <f t="shared" si="13"/>
        <v/>
      </c>
      <c r="F44" s="339" t="str">
        <f t="shared" si="11"/>
        <v/>
      </c>
      <c r="G44" s="289" t="str">
        <f t="shared" si="14"/>
        <v/>
      </c>
      <c r="H44" s="335" t="str">
        <f t="shared" si="15"/>
        <v/>
      </c>
      <c r="I44" s="338" t="str">
        <f t="shared" si="16"/>
        <v/>
      </c>
      <c r="J44" s="335" t="str">
        <f t="shared" si="17"/>
        <v/>
      </c>
      <c r="K44" s="24"/>
      <c r="L44" s="24"/>
      <c r="Q44" s="351"/>
      <c r="R44" s="352">
        <f t="shared" si="8"/>
        <v>-1000000</v>
      </c>
      <c r="S44" s="352">
        <f t="shared" si="9"/>
        <v>1000000</v>
      </c>
      <c r="T44" s="352">
        <f t="shared" si="18"/>
        <v>0</v>
      </c>
      <c r="U44" s="352">
        <f t="shared" si="10"/>
        <v>0</v>
      </c>
      <c r="V44" s="353">
        <f t="shared" si="19"/>
        <v>0</v>
      </c>
      <c r="W44" s="354"/>
    </row>
    <row r="45" ht="13.05" spans="1:23">
      <c r="A45" s="336" t="s">
        <v>75</v>
      </c>
      <c r="B45" s="330">
        <v>77</v>
      </c>
      <c r="C45" s="337" t="s">
        <v>48</v>
      </c>
      <c r="D45" s="289">
        <f t="shared" si="12"/>
        <v>77</v>
      </c>
      <c r="E45" s="338">
        <f t="shared" si="13"/>
        <v>77</v>
      </c>
      <c r="F45" s="339">
        <f t="shared" si="11"/>
        <v>77</v>
      </c>
      <c r="G45" s="289">
        <f t="shared" si="14"/>
        <v>51</v>
      </c>
      <c r="H45" s="335" t="str">
        <f t="shared" si="15"/>
        <v>Pass</v>
      </c>
      <c r="I45" s="338">
        <f t="shared" si="16"/>
        <v>100</v>
      </c>
      <c r="J45" s="335" t="str">
        <f t="shared" si="17"/>
        <v>Pass</v>
      </c>
      <c r="K45" s="24"/>
      <c r="L45" s="24"/>
      <c r="Q45" s="351"/>
      <c r="R45" s="352">
        <f t="shared" si="8"/>
        <v>-1000000</v>
      </c>
      <c r="S45" s="352">
        <f t="shared" si="9"/>
        <v>1000000</v>
      </c>
      <c r="T45" s="352">
        <f t="shared" si="18"/>
        <v>1</v>
      </c>
      <c r="U45" s="352">
        <f t="shared" si="10"/>
        <v>1</v>
      </c>
      <c r="V45" s="353">
        <f t="shared" si="19"/>
        <v>0</v>
      </c>
      <c r="W45" s="354"/>
    </row>
    <row r="46" ht="13.05" spans="1:23">
      <c r="A46" s="336" t="s">
        <v>76</v>
      </c>
      <c r="B46" s="330">
        <v>0</v>
      </c>
      <c r="C46" s="337" t="s">
        <v>44</v>
      </c>
      <c r="D46" s="289">
        <f t="shared" si="12"/>
        <v>0</v>
      </c>
      <c r="E46" s="338">
        <f t="shared" si="13"/>
        <v>0</v>
      </c>
      <c r="F46" s="339">
        <f t="shared" si="11"/>
        <v>0</v>
      </c>
      <c r="G46" s="289">
        <f t="shared" si="14"/>
        <v>0</v>
      </c>
      <c r="H46" s="335" t="str">
        <f t="shared" si="15"/>
        <v>Pass</v>
      </c>
      <c r="I46" s="338">
        <f t="shared" si="16"/>
        <v>1</v>
      </c>
      <c r="J46" s="335" t="str">
        <f t="shared" si="17"/>
        <v>Pass</v>
      </c>
      <c r="K46" s="24"/>
      <c r="L46" s="24"/>
      <c r="Q46" s="351"/>
      <c r="R46" s="352">
        <f t="shared" si="8"/>
        <v>-1000000</v>
      </c>
      <c r="S46" s="352">
        <f t="shared" si="9"/>
        <v>1000000</v>
      </c>
      <c r="T46" s="352">
        <f t="shared" si="18"/>
        <v>1</v>
      </c>
      <c r="U46" s="352">
        <f t="shared" si="10"/>
        <v>1</v>
      </c>
      <c r="V46" s="353">
        <f t="shared" si="19"/>
        <v>1</v>
      </c>
      <c r="W46" s="354"/>
    </row>
    <row r="47" ht="13.05" spans="1:23">
      <c r="A47" s="336" t="s">
        <v>77</v>
      </c>
      <c r="B47" s="330">
        <v>0</v>
      </c>
      <c r="C47" s="337" t="s">
        <v>44</v>
      </c>
      <c r="D47" s="289">
        <f t="shared" si="12"/>
        <v>0</v>
      </c>
      <c r="E47" s="338">
        <f t="shared" si="13"/>
        <v>0</v>
      </c>
      <c r="F47" s="339">
        <f t="shared" si="11"/>
        <v>0</v>
      </c>
      <c r="G47" s="289">
        <f t="shared" si="14"/>
        <v>0</v>
      </c>
      <c r="H47" s="335" t="str">
        <f t="shared" si="15"/>
        <v>Pass</v>
      </c>
      <c r="I47" s="338">
        <f t="shared" si="16"/>
        <v>1</v>
      </c>
      <c r="J47" s="335" t="str">
        <f t="shared" si="17"/>
        <v>Pass</v>
      </c>
      <c r="K47" s="24"/>
      <c r="L47" s="24"/>
      <c r="Q47" s="351"/>
      <c r="R47" s="352">
        <f t="shared" si="8"/>
        <v>-1000000</v>
      </c>
      <c r="S47" s="352">
        <f t="shared" si="9"/>
        <v>1000000</v>
      </c>
      <c r="T47" s="352">
        <f t="shared" si="18"/>
        <v>1</v>
      </c>
      <c r="U47" s="352">
        <f t="shared" si="10"/>
        <v>1</v>
      </c>
      <c r="V47" s="353">
        <f t="shared" si="19"/>
        <v>1</v>
      </c>
      <c r="W47" s="354"/>
    </row>
    <row r="48" ht="13.05" spans="1:23">
      <c r="A48" s="336" t="s">
        <v>78</v>
      </c>
      <c r="B48" s="330"/>
      <c r="C48" s="337"/>
      <c r="D48" s="289" t="str">
        <f t="shared" si="12"/>
        <v/>
      </c>
      <c r="E48" s="338" t="str">
        <f t="shared" si="13"/>
        <v/>
      </c>
      <c r="F48" s="339" t="str">
        <f t="shared" si="11"/>
        <v/>
      </c>
      <c r="G48" s="289" t="str">
        <f t="shared" si="14"/>
        <v/>
      </c>
      <c r="H48" s="335" t="str">
        <f t="shared" si="15"/>
        <v/>
      </c>
      <c r="I48" s="338" t="str">
        <f t="shared" si="16"/>
        <v/>
      </c>
      <c r="J48" s="335" t="str">
        <f t="shared" si="17"/>
        <v/>
      </c>
      <c r="K48" s="24"/>
      <c r="L48" s="24"/>
      <c r="Q48" s="351"/>
      <c r="R48" s="352">
        <f t="shared" si="8"/>
        <v>-1000000</v>
      </c>
      <c r="S48" s="352">
        <f t="shared" si="9"/>
        <v>1000000</v>
      </c>
      <c r="T48" s="352">
        <f t="shared" si="18"/>
        <v>0</v>
      </c>
      <c r="U48" s="352">
        <f t="shared" si="10"/>
        <v>0</v>
      </c>
      <c r="V48" s="353" t="e">
        <f t="shared" si="19"/>
        <v>#N/A</v>
      </c>
      <c r="W48" s="354"/>
    </row>
    <row r="49" ht="13.05" spans="1:23">
      <c r="A49" s="336" t="s">
        <v>79</v>
      </c>
      <c r="B49" s="330">
        <v>18</v>
      </c>
      <c r="C49" s="337" t="s">
        <v>80</v>
      </c>
      <c r="D49" s="289">
        <f t="shared" si="12"/>
        <v>18</v>
      </c>
      <c r="E49" s="338">
        <f t="shared" si="13"/>
        <v>18</v>
      </c>
      <c r="F49" s="339">
        <f t="shared" si="11"/>
        <v>18</v>
      </c>
      <c r="G49" s="289">
        <f t="shared" si="14"/>
        <v>15</v>
      </c>
      <c r="H49" s="335" t="str">
        <f t="shared" si="15"/>
        <v>Pass</v>
      </c>
      <c r="I49" s="338">
        <f t="shared" si="16"/>
        <v>50000</v>
      </c>
      <c r="J49" s="335" t="str">
        <f t="shared" si="17"/>
        <v>Pass</v>
      </c>
      <c r="K49" s="24"/>
      <c r="L49" s="24"/>
      <c r="Q49" s="351"/>
      <c r="R49" s="352">
        <f t="shared" si="8"/>
        <v>-1000000</v>
      </c>
      <c r="S49" s="352">
        <f t="shared" si="9"/>
        <v>1000000</v>
      </c>
      <c r="T49" s="352">
        <f t="shared" si="18"/>
        <v>1</v>
      </c>
      <c r="U49" s="352">
        <f t="shared" si="10"/>
        <v>1</v>
      </c>
      <c r="V49" s="353">
        <f t="shared" si="19"/>
        <v>0</v>
      </c>
      <c r="W49" s="354"/>
    </row>
    <row r="50" ht="13.05" spans="1:23">
      <c r="A50" s="336" t="s">
        <v>81</v>
      </c>
      <c r="B50" s="330">
        <v>9.8</v>
      </c>
      <c r="C50" s="337" t="s">
        <v>60</v>
      </c>
      <c r="D50" s="289">
        <f t="shared" si="12"/>
        <v>9.8</v>
      </c>
      <c r="E50" s="338">
        <f t="shared" si="13"/>
        <v>9.8</v>
      </c>
      <c r="F50" s="339">
        <f t="shared" si="11"/>
        <v>9.8</v>
      </c>
      <c r="G50" s="289">
        <f t="shared" si="14"/>
        <v>0</v>
      </c>
      <c r="H50" s="335" t="str">
        <f t="shared" si="15"/>
        <v>Pass</v>
      </c>
      <c r="I50" s="338">
        <f t="shared" si="16"/>
        <v>400</v>
      </c>
      <c r="J50" s="335" t="str">
        <f t="shared" si="17"/>
        <v>Pass</v>
      </c>
      <c r="K50" s="24"/>
      <c r="L50" s="24"/>
      <c r="Q50" s="351"/>
      <c r="R50" s="352">
        <f t="shared" si="8"/>
        <v>-1000000</v>
      </c>
      <c r="S50" s="352">
        <f t="shared" si="9"/>
        <v>1000000</v>
      </c>
      <c r="T50" s="352">
        <f t="shared" si="18"/>
        <v>0</v>
      </c>
      <c r="U50" s="352">
        <f t="shared" si="10"/>
        <v>0</v>
      </c>
      <c r="V50" s="353">
        <f t="shared" si="19"/>
        <v>1</v>
      </c>
      <c r="W50" s="354"/>
    </row>
    <row r="51" ht="13.05" spans="1:23">
      <c r="A51" s="336" t="s">
        <v>82</v>
      </c>
      <c r="B51" s="330"/>
      <c r="C51" s="337"/>
      <c r="D51" s="289" t="str">
        <f t="shared" si="12"/>
        <v/>
      </c>
      <c r="E51" s="338" t="str">
        <f t="shared" si="13"/>
        <v/>
      </c>
      <c r="F51" s="339" t="str">
        <f t="shared" si="11"/>
        <v/>
      </c>
      <c r="G51" s="289" t="str">
        <f t="shared" si="14"/>
        <v/>
      </c>
      <c r="H51" s="335" t="str">
        <f t="shared" si="15"/>
        <v/>
      </c>
      <c r="I51" s="338" t="str">
        <f t="shared" si="16"/>
        <v/>
      </c>
      <c r="J51" s="335" t="str">
        <f t="shared" si="17"/>
        <v/>
      </c>
      <c r="K51" s="24"/>
      <c r="L51" s="24"/>
      <c r="Q51" s="351"/>
      <c r="R51" s="352">
        <f t="shared" si="8"/>
        <v>-1000000</v>
      </c>
      <c r="S51" s="352">
        <f t="shared" si="9"/>
        <v>1000000</v>
      </c>
      <c r="T51" s="352">
        <f t="shared" si="18"/>
        <v>0</v>
      </c>
      <c r="U51" s="352">
        <f t="shared" si="10"/>
        <v>0</v>
      </c>
      <c r="V51" s="353" t="e">
        <f t="shared" si="19"/>
        <v>#N/A</v>
      </c>
      <c r="W51" s="354"/>
    </row>
    <row r="52" ht="13.05" spans="1:23">
      <c r="A52" s="336" t="s">
        <v>83</v>
      </c>
      <c r="B52" s="330">
        <v>419.5</v>
      </c>
      <c r="C52" s="337" t="s">
        <v>48</v>
      </c>
      <c r="D52" s="289">
        <f t="shared" si="12"/>
        <v>419.5</v>
      </c>
      <c r="E52" s="338">
        <f t="shared" si="13"/>
        <v>419.5</v>
      </c>
      <c r="F52" s="339">
        <f t="shared" si="11"/>
        <v>419.5</v>
      </c>
      <c r="G52" s="289">
        <f t="shared" si="14"/>
        <v>400</v>
      </c>
      <c r="H52" s="335" t="str">
        <f t="shared" si="15"/>
        <v>Pass</v>
      </c>
      <c r="I52" s="338">
        <f t="shared" si="16"/>
        <v>450</v>
      </c>
      <c r="J52" s="335" t="str">
        <f t="shared" si="17"/>
        <v>Pass</v>
      </c>
      <c r="K52" s="24"/>
      <c r="L52" s="24"/>
      <c r="Q52" s="351"/>
      <c r="R52" s="352">
        <f t="shared" si="8"/>
        <v>-1000000</v>
      </c>
      <c r="S52" s="352">
        <f t="shared" si="9"/>
        <v>1000000</v>
      </c>
      <c r="T52" s="352">
        <f t="shared" si="18"/>
        <v>3</v>
      </c>
      <c r="U52" s="352">
        <f t="shared" si="10"/>
        <v>3</v>
      </c>
      <c r="V52" s="353">
        <f t="shared" si="19"/>
        <v>1</v>
      </c>
      <c r="W52" s="354"/>
    </row>
    <row r="53" ht="13.05" spans="1:23">
      <c r="A53" s="336" t="s">
        <v>84</v>
      </c>
      <c r="B53" s="330">
        <v>419.25</v>
      </c>
      <c r="C53" s="337" t="s">
        <v>48</v>
      </c>
      <c r="D53" s="289">
        <f t="shared" si="12"/>
        <v>419.25</v>
      </c>
      <c r="E53" s="338">
        <f t="shared" si="13"/>
        <v>419.25</v>
      </c>
      <c r="F53" s="339">
        <f t="shared" si="11"/>
        <v>419.3</v>
      </c>
      <c r="G53" s="289">
        <f t="shared" si="14"/>
        <v>400</v>
      </c>
      <c r="H53" s="335" t="str">
        <f t="shared" si="15"/>
        <v>Pass</v>
      </c>
      <c r="I53" s="338">
        <f t="shared" si="16"/>
        <v>450</v>
      </c>
      <c r="J53" s="335" t="str">
        <f t="shared" si="17"/>
        <v>Pass</v>
      </c>
      <c r="K53" s="24"/>
      <c r="L53" s="24"/>
      <c r="Q53" s="351"/>
      <c r="R53" s="352">
        <f t="shared" si="8"/>
        <v>-1000000</v>
      </c>
      <c r="S53" s="352">
        <f t="shared" si="9"/>
        <v>1000000</v>
      </c>
      <c r="T53" s="352">
        <f t="shared" si="18"/>
        <v>3</v>
      </c>
      <c r="U53" s="352">
        <f t="shared" si="10"/>
        <v>3</v>
      </c>
      <c r="V53" s="353">
        <f t="shared" si="19"/>
        <v>1</v>
      </c>
      <c r="W53" s="354"/>
    </row>
    <row r="54" ht="13.05" spans="1:23">
      <c r="A54" s="336" t="s">
        <v>85</v>
      </c>
      <c r="B54" s="330">
        <v>418.25</v>
      </c>
      <c r="C54" s="337" t="s">
        <v>48</v>
      </c>
      <c r="D54" s="289">
        <f t="shared" si="12"/>
        <v>418.25</v>
      </c>
      <c r="E54" s="338">
        <f t="shared" si="13"/>
        <v>418.25</v>
      </c>
      <c r="F54" s="339">
        <f t="shared" si="11"/>
        <v>418.3</v>
      </c>
      <c r="G54" s="289">
        <f t="shared" si="14"/>
        <v>400</v>
      </c>
      <c r="H54" s="335" t="str">
        <f t="shared" si="15"/>
        <v>Pass</v>
      </c>
      <c r="I54" s="338">
        <f t="shared" si="16"/>
        <v>450</v>
      </c>
      <c r="J54" s="335" t="str">
        <f t="shared" si="17"/>
        <v>Pass</v>
      </c>
      <c r="K54" s="24"/>
      <c r="L54" s="24"/>
      <c r="Q54" s="351"/>
      <c r="R54" s="352">
        <f t="shared" si="8"/>
        <v>-1000000</v>
      </c>
      <c r="S54" s="352">
        <f t="shared" si="9"/>
        <v>1000000</v>
      </c>
      <c r="T54" s="352">
        <f t="shared" si="18"/>
        <v>5</v>
      </c>
      <c r="U54" s="352">
        <f t="shared" si="10"/>
        <v>5</v>
      </c>
      <c r="V54" s="353">
        <f t="shared" si="19"/>
        <v>1</v>
      </c>
      <c r="W54" s="354"/>
    </row>
    <row r="55" ht="13.05" spans="1:23">
      <c r="A55" s="336" t="s">
        <v>86</v>
      </c>
      <c r="B55" s="330">
        <v>59.6</v>
      </c>
      <c r="C55" s="337" t="s">
        <v>60</v>
      </c>
      <c r="D55" s="289">
        <f t="shared" si="12"/>
        <v>59.6</v>
      </c>
      <c r="E55" s="338">
        <f t="shared" si="13"/>
        <v>59.6</v>
      </c>
      <c r="F55" s="339">
        <f t="shared" si="11"/>
        <v>59.6</v>
      </c>
      <c r="G55" s="289">
        <f t="shared" si="14"/>
        <v>50</v>
      </c>
      <c r="H55" s="335" t="str">
        <f t="shared" si="15"/>
        <v>Pass</v>
      </c>
      <c r="I55" s="338">
        <f t="shared" si="16"/>
        <v>75</v>
      </c>
      <c r="J55" s="335" t="str">
        <f t="shared" si="17"/>
        <v>Pass</v>
      </c>
      <c r="K55" s="24"/>
      <c r="L55" s="24"/>
      <c r="Q55" s="351"/>
      <c r="R55" s="352">
        <f t="shared" si="8"/>
        <v>-1000000</v>
      </c>
      <c r="S55" s="352">
        <f t="shared" si="9"/>
        <v>1000000</v>
      </c>
      <c r="T55" s="352">
        <f t="shared" si="18"/>
        <v>5</v>
      </c>
      <c r="U55" s="352">
        <f t="shared" si="10"/>
        <v>5</v>
      </c>
      <c r="V55" s="353">
        <f t="shared" si="19"/>
        <v>1</v>
      </c>
      <c r="W55" s="354"/>
    </row>
    <row r="56" ht="13.05" spans="1:23">
      <c r="A56" s="336" t="s">
        <v>87</v>
      </c>
      <c r="B56" s="330">
        <v>54.5</v>
      </c>
      <c r="C56" s="337" t="s">
        <v>88</v>
      </c>
      <c r="D56" s="289">
        <f t="shared" si="12"/>
        <v>54.5</v>
      </c>
      <c r="E56" s="338">
        <f t="shared" si="13"/>
        <v>54.5</v>
      </c>
      <c r="F56" s="339">
        <f t="shared" si="11"/>
        <v>54.5</v>
      </c>
      <c r="G56" s="289">
        <f t="shared" si="14"/>
        <v>44</v>
      </c>
      <c r="H56" s="335" t="str">
        <f t="shared" si="15"/>
        <v>Pass</v>
      </c>
      <c r="I56" s="338">
        <f t="shared" si="16"/>
        <v>57</v>
      </c>
      <c r="J56" s="335" t="str">
        <f t="shared" si="17"/>
        <v>Pass</v>
      </c>
      <c r="K56" s="24"/>
      <c r="L56" s="24"/>
      <c r="Q56" s="351"/>
      <c r="R56" s="352">
        <f t="shared" si="8"/>
        <v>-1000000</v>
      </c>
      <c r="S56" s="352">
        <f t="shared" si="9"/>
        <v>1000000</v>
      </c>
      <c r="T56" s="352">
        <f t="shared" si="18"/>
        <v>5</v>
      </c>
      <c r="U56" s="352">
        <f t="shared" si="10"/>
        <v>5</v>
      </c>
      <c r="V56" s="353">
        <f t="shared" si="19"/>
        <v>1</v>
      </c>
      <c r="W56" s="354"/>
    </row>
    <row r="57" ht="13.05" spans="1:23">
      <c r="A57" s="336" t="s">
        <v>89</v>
      </c>
      <c r="B57" s="330">
        <v>30.5</v>
      </c>
      <c r="C57" s="337" t="s">
        <v>88</v>
      </c>
      <c r="D57" s="289">
        <f t="shared" si="12"/>
        <v>30.5</v>
      </c>
      <c r="E57" s="338">
        <f t="shared" si="13"/>
        <v>30.5</v>
      </c>
      <c r="F57" s="339">
        <f t="shared" si="11"/>
        <v>30.5</v>
      </c>
      <c r="G57" s="289">
        <f t="shared" si="14"/>
        <v>30</v>
      </c>
      <c r="H57" s="335" t="str">
        <f t="shared" si="15"/>
        <v>Pass</v>
      </c>
      <c r="I57" s="338">
        <f t="shared" si="16"/>
        <v>57</v>
      </c>
      <c r="J57" s="335" t="str">
        <f t="shared" si="17"/>
        <v>Pass</v>
      </c>
      <c r="K57" s="24"/>
      <c r="L57" s="24"/>
      <c r="Q57" s="351"/>
      <c r="R57" s="352">
        <f t="shared" si="8"/>
        <v>-1000000</v>
      </c>
      <c r="S57" s="352">
        <f t="shared" si="9"/>
        <v>1000000</v>
      </c>
      <c r="T57" s="352">
        <f t="shared" si="18"/>
        <v>3</v>
      </c>
      <c r="U57" s="352">
        <f t="shared" si="10"/>
        <v>3</v>
      </c>
      <c r="V57" s="353">
        <f t="shared" si="19"/>
        <v>1</v>
      </c>
      <c r="W57" s="354"/>
    </row>
    <row r="58" ht="13.05" spans="1:23">
      <c r="A58" s="336" t="s">
        <v>90</v>
      </c>
      <c r="B58" s="330">
        <v>563.8</v>
      </c>
      <c r="C58" s="337" t="s">
        <v>48</v>
      </c>
      <c r="D58" s="289">
        <f t="shared" si="12"/>
        <v>563.8</v>
      </c>
      <c r="E58" s="338">
        <f t="shared" si="13"/>
        <v>563.8</v>
      </c>
      <c r="F58" s="339">
        <f t="shared" si="11"/>
        <v>563.8</v>
      </c>
      <c r="G58" s="289">
        <f t="shared" si="14"/>
        <v>0</v>
      </c>
      <c r="H58" s="335" t="str">
        <f t="shared" si="15"/>
        <v>Pass</v>
      </c>
      <c r="I58" s="338">
        <f t="shared" si="16"/>
        <v>2000</v>
      </c>
      <c r="J58" s="335" t="str">
        <f t="shared" si="17"/>
        <v>Pass</v>
      </c>
      <c r="K58" s="24"/>
      <c r="L58" s="24"/>
      <c r="Q58" s="351"/>
      <c r="R58" s="352">
        <f t="shared" si="8"/>
        <v>-1000000</v>
      </c>
      <c r="S58" s="352">
        <f t="shared" si="9"/>
        <v>1000000</v>
      </c>
      <c r="T58" s="352">
        <f t="shared" si="18"/>
        <v>1</v>
      </c>
      <c r="U58" s="352">
        <f t="shared" si="10"/>
        <v>1</v>
      </c>
      <c r="V58" s="353">
        <f t="shared" si="19"/>
        <v>1</v>
      </c>
      <c r="W58" s="354"/>
    </row>
    <row r="59" ht="13.05" spans="1:23">
      <c r="A59" s="336" t="s">
        <v>91</v>
      </c>
      <c r="B59" s="330">
        <v>0</v>
      </c>
      <c r="C59" s="337" t="s">
        <v>44</v>
      </c>
      <c r="D59" s="289">
        <f t="shared" si="12"/>
        <v>0</v>
      </c>
      <c r="E59" s="338">
        <f t="shared" si="13"/>
        <v>0</v>
      </c>
      <c r="F59" s="339">
        <f t="shared" si="11"/>
        <v>0</v>
      </c>
      <c r="G59" s="289">
        <f t="shared" si="14"/>
        <v>0</v>
      </c>
      <c r="H59" s="335" t="str">
        <f t="shared" si="15"/>
        <v>Pass</v>
      </c>
      <c r="I59" s="338">
        <f t="shared" si="16"/>
        <v>1</v>
      </c>
      <c r="J59" s="335" t="str">
        <f t="shared" si="17"/>
        <v>Pass</v>
      </c>
      <c r="K59" s="24"/>
      <c r="L59" s="24"/>
      <c r="Q59" s="351"/>
      <c r="R59" s="352">
        <f t="shared" si="8"/>
        <v>-1000000</v>
      </c>
      <c r="S59" s="352">
        <f t="shared" si="9"/>
        <v>1000000</v>
      </c>
      <c r="T59" s="352">
        <f t="shared" si="18"/>
        <v>5</v>
      </c>
      <c r="U59" s="352">
        <f t="shared" si="10"/>
        <v>5</v>
      </c>
      <c r="V59" s="353">
        <f t="shared" si="19"/>
        <v>0</v>
      </c>
      <c r="W59" s="354"/>
    </row>
    <row r="60" ht="13.05" spans="1:23">
      <c r="A60" s="336" t="s">
        <v>92</v>
      </c>
      <c r="B60" s="330"/>
      <c r="C60" s="337"/>
      <c r="D60" s="289" t="str">
        <f t="shared" si="12"/>
        <v/>
      </c>
      <c r="E60" s="338" t="str">
        <f t="shared" si="13"/>
        <v/>
      </c>
      <c r="F60" s="339" t="str">
        <f t="shared" si="11"/>
        <v/>
      </c>
      <c r="G60" s="289" t="str">
        <f t="shared" si="14"/>
        <v/>
      </c>
      <c r="H60" s="335" t="str">
        <f t="shared" si="15"/>
        <v/>
      </c>
      <c r="I60" s="338" t="str">
        <f t="shared" si="16"/>
        <v/>
      </c>
      <c r="J60" s="335" t="str">
        <f t="shared" si="17"/>
        <v/>
      </c>
      <c r="K60" s="24"/>
      <c r="L60" s="24"/>
      <c r="Q60" s="351"/>
      <c r="R60" s="352">
        <f t="shared" si="8"/>
        <v>-1000000</v>
      </c>
      <c r="S60" s="352">
        <f t="shared" si="9"/>
        <v>1000000</v>
      </c>
      <c r="T60" s="352">
        <f t="shared" si="18"/>
        <v>0</v>
      </c>
      <c r="U60" s="352">
        <f t="shared" si="10"/>
        <v>0</v>
      </c>
      <c r="V60" s="353" t="e">
        <f t="shared" si="19"/>
        <v>#N/A</v>
      </c>
      <c r="W60" s="354"/>
    </row>
    <row r="61" ht="13.05" spans="1:23">
      <c r="A61" s="336" t="s">
        <v>93</v>
      </c>
      <c r="B61" s="330">
        <v>54.4</v>
      </c>
      <c r="C61" s="337" t="s">
        <v>94</v>
      </c>
      <c r="D61" s="289">
        <f t="shared" si="12"/>
        <v>54.4</v>
      </c>
      <c r="E61" s="338">
        <f t="shared" si="13"/>
        <v>54.4</v>
      </c>
      <c r="F61" s="339">
        <f t="shared" si="11"/>
        <v>54.4</v>
      </c>
      <c r="G61" s="289">
        <f t="shared" si="14"/>
        <v>44</v>
      </c>
      <c r="H61" s="335" t="str">
        <f t="shared" si="15"/>
        <v>Pass</v>
      </c>
      <c r="I61" s="338">
        <f t="shared" si="16"/>
        <v>57</v>
      </c>
      <c r="J61" s="335" t="str">
        <f t="shared" si="17"/>
        <v>Pass</v>
      </c>
      <c r="K61" s="24"/>
      <c r="L61" s="24"/>
      <c r="Q61" s="351"/>
      <c r="R61" s="352">
        <f t="shared" si="8"/>
        <v>-1000000</v>
      </c>
      <c r="S61" s="352">
        <f t="shared" si="9"/>
        <v>1000000</v>
      </c>
      <c r="T61" s="352">
        <f t="shared" si="18"/>
        <v>5</v>
      </c>
      <c r="U61" s="352">
        <f t="shared" si="10"/>
        <v>5</v>
      </c>
      <c r="V61" s="353">
        <f t="shared" si="19"/>
        <v>1</v>
      </c>
      <c r="W61" s="354"/>
    </row>
    <row r="62" ht="13.05" spans="1:23">
      <c r="A62" s="336" t="s">
        <v>95</v>
      </c>
      <c r="B62" s="330">
        <v>54.7</v>
      </c>
      <c r="C62" s="337" t="s">
        <v>94</v>
      </c>
      <c r="D62" s="289">
        <f t="shared" si="12"/>
        <v>54.7</v>
      </c>
      <c r="E62" s="338">
        <f t="shared" si="13"/>
        <v>54.7</v>
      </c>
      <c r="F62" s="339">
        <f t="shared" si="11"/>
        <v>54.7</v>
      </c>
      <c r="G62" s="289">
        <f t="shared" si="14"/>
        <v>44</v>
      </c>
      <c r="H62" s="335" t="str">
        <f t="shared" si="15"/>
        <v>Pass</v>
      </c>
      <c r="I62" s="338">
        <f t="shared" si="16"/>
        <v>57</v>
      </c>
      <c r="J62" s="335" t="str">
        <f t="shared" si="17"/>
        <v>Pass</v>
      </c>
      <c r="K62" s="24"/>
      <c r="L62" s="24"/>
      <c r="Q62" s="351"/>
      <c r="R62" s="352">
        <f t="shared" si="8"/>
        <v>-1000000</v>
      </c>
      <c r="S62" s="352">
        <f t="shared" si="9"/>
        <v>1000000</v>
      </c>
      <c r="T62" s="352">
        <f t="shared" si="18"/>
        <v>5</v>
      </c>
      <c r="U62" s="352">
        <f t="shared" si="10"/>
        <v>5</v>
      </c>
      <c r="V62" s="353">
        <f t="shared" si="19"/>
        <v>1</v>
      </c>
      <c r="W62" s="354"/>
    </row>
    <row r="63" ht="13.05" spans="1:23">
      <c r="A63" s="336" t="s">
        <v>96</v>
      </c>
      <c r="B63" s="330">
        <v>30</v>
      </c>
      <c r="C63" s="337" t="s">
        <v>97</v>
      </c>
      <c r="D63" s="289">
        <f t="shared" si="12"/>
        <v>30</v>
      </c>
      <c r="E63" s="338">
        <f t="shared" si="13"/>
        <v>30</v>
      </c>
      <c r="F63" s="339">
        <f t="shared" si="11"/>
        <v>30</v>
      </c>
      <c r="G63" s="289">
        <f t="shared" si="14"/>
        <v>0</v>
      </c>
      <c r="H63" s="335" t="str">
        <f t="shared" si="15"/>
        <v>Pass</v>
      </c>
      <c r="I63" s="338">
        <f t="shared" si="16"/>
        <v>500</v>
      </c>
      <c r="J63" s="335" t="str">
        <f t="shared" si="17"/>
        <v>Pass</v>
      </c>
      <c r="K63" s="24"/>
      <c r="L63" s="24"/>
      <c r="Q63" s="351"/>
      <c r="R63" s="352">
        <f t="shared" si="8"/>
        <v>-1000000</v>
      </c>
      <c r="S63" s="352">
        <f t="shared" si="9"/>
        <v>1000000</v>
      </c>
      <c r="T63" s="352">
        <f t="shared" si="18"/>
        <v>3</v>
      </c>
      <c r="U63" s="352">
        <f t="shared" si="10"/>
        <v>3</v>
      </c>
      <c r="V63" s="353">
        <f t="shared" si="19"/>
        <v>1</v>
      </c>
      <c r="W63" s="354"/>
    </row>
    <row r="64" ht="13.05" spans="1:23">
      <c r="A64" s="336" t="s">
        <v>98</v>
      </c>
      <c r="B64" s="330">
        <v>203</v>
      </c>
      <c r="C64" s="337" t="s">
        <v>97</v>
      </c>
      <c r="D64" s="289">
        <f t="shared" si="12"/>
        <v>203</v>
      </c>
      <c r="E64" s="338">
        <f t="shared" si="13"/>
        <v>203</v>
      </c>
      <c r="F64" s="339">
        <f t="shared" si="11"/>
        <v>203</v>
      </c>
      <c r="G64" s="289">
        <f t="shared" si="14"/>
        <v>0</v>
      </c>
      <c r="H64" s="335" t="str">
        <f t="shared" si="15"/>
        <v>Pass</v>
      </c>
      <c r="I64" s="338">
        <f t="shared" si="16"/>
        <v>200</v>
      </c>
      <c r="J64" s="335" t="str">
        <f t="shared" si="17"/>
        <v>Fail</v>
      </c>
      <c r="K64" s="24"/>
      <c r="L64" s="24"/>
      <c r="Q64" s="351"/>
      <c r="R64" s="352">
        <f t="shared" si="8"/>
        <v>-1000000</v>
      </c>
      <c r="S64" s="352">
        <f t="shared" si="9"/>
        <v>1000000</v>
      </c>
      <c r="T64" s="352">
        <f t="shared" si="18"/>
        <v>3</v>
      </c>
      <c r="U64" s="352">
        <f t="shared" si="10"/>
        <v>0</v>
      </c>
      <c r="V64" s="353">
        <f t="shared" si="19"/>
        <v>1</v>
      </c>
      <c r="W64" s="354"/>
    </row>
    <row r="65" ht="13.05" spans="1:23">
      <c r="A65" s="336" t="s">
        <v>99</v>
      </c>
      <c r="B65" s="330">
        <v>54.2</v>
      </c>
      <c r="C65" s="337" t="s">
        <v>94</v>
      </c>
      <c r="D65" s="289">
        <f t="shared" si="12"/>
        <v>54.2</v>
      </c>
      <c r="E65" s="338">
        <f t="shared" si="13"/>
        <v>54.2</v>
      </c>
      <c r="F65" s="339">
        <f t="shared" si="11"/>
        <v>54.2</v>
      </c>
      <c r="G65" s="289">
        <f t="shared" si="14"/>
        <v>44</v>
      </c>
      <c r="H65" s="335" t="str">
        <f t="shared" si="15"/>
        <v>Pass</v>
      </c>
      <c r="I65" s="338">
        <f t="shared" si="16"/>
        <v>57</v>
      </c>
      <c r="J65" s="335" t="str">
        <f t="shared" si="17"/>
        <v>Pass</v>
      </c>
      <c r="K65" s="24"/>
      <c r="L65" s="24"/>
      <c r="Q65" s="351"/>
      <c r="R65" s="352">
        <f t="shared" si="8"/>
        <v>-1000000</v>
      </c>
      <c r="S65" s="352">
        <f t="shared" si="9"/>
        <v>1000000</v>
      </c>
      <c r="T65" s="352">
        <f t="shared" si="18"/>
        <v>5</v>
      </c>
      <c r="U65" s="352">
        <f t="shared" si="10"/>
        <v>5</v>
      </c>
      <c r="V65" s="353">
        <f t="shared" si="19"/>
        <v>1</v>
      </c>
      <c r="W65" s="354"/>
    </row>
    <row r="66" ht="13.05" spans="1:23">
      <c r="A66" s="336" t="s">
        <v>100</v>
      </c>
      <c r="B66" s="330">
        <v>54.8</v>
      </c>
      <c r="C66" s="337" t="s">
        <v>94</v>
      </c>
      <c r="D66" s="289">
        <f t="shared" si="12"/>
        <v>54.8</v>
      </c>
      <c r="E66" s="338">
        <f t="shared" si="13"/>
        <v>54.8</v>
      </c>
      <c r="F66" s="339">
        <f t="shared" si="11"/>
        <v>54.8</v>
      </c>
      <c r="G66" s="289">
        <f t="shared" si="14"/>
        <v>44</v>
      </c>
      <c r="H66" s="335" t="str">
        <f t="shared" si="15"/>
        <v>Pass</v>
      </c>
      <c r="I66" s="338">
        <f t="shared" si="16"/>
        <v>57</v>
      </c>
      <c r="J66" s="335" t="str">
        <f t="shared" si="17"/>
        <v>Pass</v>
      </c>
      <c r="K66" s="24"/>
      <c r="L66" s="24"/>
      <c r="Q66" s="351"/>
      <c r="R66" s="352">
        <f t="shared" si="8"/>
        <v>-1000000</v>
      </c>
      <c r="S66" s="352">
        <f t="shared" si="9"/>
        <v>1000000</v>
      </c>
      <c r="T66" s="352">
        <f t="shared" si="18"/>
        <v>3</v>
      </c>
      <c r="U66" s="352">
        <f t="shared" si="10"/>
        <v>3</v>
      </c>
      <c r="V66" s="353">
        <f t="shared" si="19"/>
        <v>1</v>
      </c>
      <c r="W66" s="354"/>
    </row>
    <row r="67" ht="13.05" spans="1:23">
      <c r="A67" s="336" t="s">
        <v>101</v>
      </c>
      <c r="B67" s="330"/>
      <c r="C67" s="337"/>
      <c r="D67" s="289" t="str">
        <f t="shared" si="12"/>
        <v/>
      </c>
      <c r="E67" s="338" t="str">
        <f t="shared" si="13"/>
        <v/>
      </c>
      <c r="F67" s="339" t="str">
        <f t="shared" si="11"/>
        <v/>
      </c>
      <c r="G67" s="289" t="str">
        <f t="shared" si="14"/>
        <v/>
      </c>
      <c r="H67" s="335" t="str">
        <f t="shared" si="15"/>
        <v/>
      </c>
      <c r="I67" s="338" t="str">
        <f t="shared" si="16"/>
        <v/>
      </c>
      <c r="J67" s="335" t="str">
        <f t="shared" si="17"/>
        <v/>
      </c>
      <c r="K67" s="24"/>
      <c r="L67" s="24"/>
      <c r="Q67" s="351"/>
      <c r="R67" s="352">
        <f t="shared" si="8"/>
        <v>-1000000</v>
      </c>
      <c r="S67" s="352">
        <f t="shared" si="9"/>
        <v>1000000</v>
      </c>
      <c r="T67" s="352">
        <f t="shared" si="18"/>
        <v>0</v>
      </c>
      <c r="U67" s="352">
        <f t="shared" si="10"/>
        <v>0</v>
      </c>
      <c r="V67" s="353" t="e">
        <f t="shared" si="19"/>
        <v>#N/A</v>
      </c>
      <c r="W67" s="354"/>
    </row>
    <row r="68" ht="13.05" spans="1:23">
      <c r="A68" s="336" t="s">
        <v>102</v>
      </c>
      <c r="B68" s="330">
        <v>16.8</v>
      </c>
      <c r="C68" s="337" t="s">
        <v>103</v>
      </c>
      <c r="D68" s="289">
        <f t="shared" si="12"/>
        <v>16.8</v>
      </c>
      <c r="E68" s="338">
        <f t="shared" si="13"/>
        <v>16.8</v>
      </c>
      <c r="F68" s="339">
        <f t="shared" si="11"/>
        <v>16.8</v>
      </c>
      <c r="G68" s="289">
        <f t="shared" si="14"/>
        <v>14.2</v>
      </c>
      <c r="H68" s="335" t="str">
        <f t="shared" si="15"/>
        <v>Pass</v>
      </c>
      <c r="I68" s="338">
        <f t="shared" si="16"/>
        <v>22.7</v>
      </c>
      <c r="J68" s="335" t="str">
        <f t="shared" si="17"/>
        <v>Pass</v>
      </c>
      <c r="K68" s="24"/>
      <c r="L68" s="24"/>
      <c r="Q68" s="351"/>
      <c r="R68" s="352">
        <f t="shared" si="8"/>
        <v>-1000000</v>
      </c>
      <c r="S68" s="352">
        <f t="shared" si="9"/>
        <v>1000000</v>
      </c>
      <c r="T68" s="352">
        <f t="shared" si="18"/>
        <v>1</v>
      </c>
      <c r="U68" s="352">
        <f t="shared" si="10"/>
        <v>1</v>
      </c>
      <c r="V68" s="353">
        <f t="shared" si="19"/>
        <v>1</v>
      </c>
      <c r="W68" s="354"/>
    </row>
    <row r="69" ht="13.05" spans="1:23">
      <c r="A69" s="336" t="s">
        <v>104</v>
      </c>
      <c r="B69" s="330">
        <v>117.3</v>
      </c>
      <c r="C69" s="337" t="s">
        <v>105</v>
      </c>
      <c r="D69" s="289">
        <f t="shared" si="12"/>
        <v>117.3</v>
      </c>
      <c r="E69" s="338">
        <f t="shared" si="13"/>
        <v>117.3</v>
      </c>
      <c r="F69" s="339">
        <f t="shared" si="11"/>
        <v>117.3</v>
      </c>
      <c r="G69" s="289">
        <f t="shared" si="14"/>
        <v>100</v>
      </c>
      <c r="H69" s="335" t="str">
        <f t="shared" si="15"/>
        <v>Pass</v>
      </c>
      <c r="I69" s="338">
        <f t="shared" si="16"/>
        <v>9999</v>
      </c>
      <c r="J69" s="335" t="str">
        <f t="shared" si="17"/>
        <v>Pass</v>
      </c>
      <c r="K69" s="24"/>
      <c r="L69" s="24"/>
      <c r="Q69" s="351"/>
      <c r="R69" s="352">
        <f t="shared" si="8"/>
        <v>-1000000</v>
      </c>
      <c r="S69" s="352">
        <f t="shared" si="9"/>
        <v>1000000</v>
      </c>
      <c r="T69" s="352">
        <f t="shared" si="18"/>
        <v>5</v>
      </c>
      <c r="U69" s="352">
        <f t="shared" si="10"/>
        <v>5</v>
      </c>
      <c r="V69" s="353">
        <f t="shared" si="19"/>
        <v>1</v>
      </c>
      <c r="W69" s="354"/>
    </row>
    <row r="70" ht="13.05" spans="1:23">
      <c r="A70" s="336" t="s">
        <v>106</v>
      </c>
      <c r="B70" s="330">
        <v>16.7</v>
      </c>
      <c r="C70" s="337" t="s">
        <v>103</v>
      </c>
      <c r="D70" s="289">
        <f t="shared" si="12"/>
        <v>16.7</v>
      </c>
      <c r="E70" s="338">
        <f t="shared" si="13"/>
        <v>16.7</v>
      </c>
      <c r="F70" s="339">
        <f t="shared" si="11"/>
        <v>16.7</v>
      </c>
      <c r="G70" s="289">
        <f t="shared" si="14"/>
        <v>3.9</v>
      </c>
      <c r="H70" s="335" t="str">
        <f t="shared" si="15"/>
        <v>Pass</v>
      </c>
      <c r="I70" s="338">
        <f t="shared" si="16"/>
        <v>22.7</v>
      </c>
      <c r="J70" s="335" t="str">
        <f t="shared" si="17"/>
        <v>Pass</v>
      </c>
      <c r="K70" s="24"/>
      <c r="L70" s="24"/>
      <c r="Q70" s="351"/>
      <c r="R70" s="352">
        <f t="shared" si="8"/>
        <v>-1000000</v>
      </c>
      <c r="S70" s="352">
        <f t="shared" si="9"/>
        <v>1000000</v>
      </c>
      <c r="T70" s="352">
        <f t="shared" si="18"/>
        <v>1</v>
      </c>
      <c r="U70" s="352">
        <f t="shared" si="10"/>
        <v>1</v>
      </c>
      <c r="V70" s="353">
        <f t="shared" si="19"/>
        <v>1</v>
      </c>
      <c r="W70" s="354"/>
    </row>
    <row r="71" ht="13.05" spans="1:23">
      <c r="A71" s="336" t="s">
        <v>107</v>
      </c>
      <c r="B71" s="330">
        <v>422.1</v>
      </c>
      <c r="C71" s="337" t="s">
        <v>105</v>
      </c>
      <c r="D71" s="289">
        <f t="shared" si="12"/>
        <v>422.1</v>
      </c>
      <c r="E71" s="338">
        <f t="shared" si="13"/>
        <v>422.1</v>
      </c>
      <c r="F71" s="339">
        <f t="shared" si="11"/>
        <v>422.1</v>
      </c>
      <c r="G71" s="289">
        <f t="shared" si="14"/>
        <v>100</v>
      </c>
      <c r="H71" s="335" t="str">
        <f t="shared" si="15"/>
        <v>Pass</v>
      </c>
      <c r="I71" s="338">
        <f t="shared" si="16"/>
        <v>9999</v>
      </c>
      <c r="J71" s="335" t="str">
        <f t="shared" si="17"/>
        <v>Pass</v>
      </c>
      <c r="K71" s="24"/>
      <c r="L71" s="24"/>
      <c r="Q71" s="351"/>
      <c r="R71" s="352">
        <f t="shared" si="8"/>
        <v>-1000000</v>
      </c>
      <c r="S71" s="352">
        <f t="shared" si="9"/>
        <v>1000000</v>
      </c>
      <c r="T71" s="352">
        <f t="shared" si="18"/>
        <v>5</v>
      </c>
      <c r="U71" s="352">
        <f t="shared" si="10"/>
        <v>5</v>
      </c>
      <c r="V71" s="353">
        <f t="shared" si="19"/>
        <v>1</v>
      </c>
      <c r="W71" s="354"/>
    </row>
    <row r="72" ht="13.05" spans="1:23">
      <c r="A72" s="336" t="s">
        <v>108</v>
      </c>
      <c r="B72" s="330">
        <v>16.7</v>
      </c>
      <c r="C72" s="337" t="s">
        <v>103</v>
      </c>
      <c r="D72" s="289">
        <f t="shared" si="12"/>
        <v>16.7</v>
      </c>
      <c r="E72" s="338">
        <f t="shared" si="13"/>
        <v>16.7</v>
      </c>
      <c r="F72" s="339">
        <f t="shared" si="11"/>
        <v>16.7</v>
      </c>
      <c r="G72" s="289">
        <f t="shared" si="14"/>
        <v>6.8</v>
      </c>
      <c r="H72" s="335" t="str">
        <f t="shared" si="15"/>
        <v>Pass</v>
      </c>
      <c r="I72" s="338">
        <f t="shared" si="16"/>
        <v>22.7</v>
      </c>
      <c r="J72" s="335" t="str">
        <f t="shared" si="17"/>
        <v>Pass</v>
      </c>
      <c r="K72" s="24"/>
      <c r="L72" s="24"/>
      <c r="Q72" s="351"/>
      <c r="R72" s="352">
        <f t="shared" si="8"/>
        <v>-1000000</v>
      </c>
      <c r="S72" s="352">
        <f t="shared" si="9"/>
        <v>1000000</v>
      </c>
      <c r="T72" s="352">
        <f t="shared" si="18"/>
        <v>1</v>
      </c>
      <c r="U72" s="352">
        <f t="shared" si="10"/>
        <v>1</v>
      </c>
      <c r="V72" s="353">
        <f t="shared" si="19"/>
        <v>1</v>
      </c>
      <c r="W72" s="354"/>
    </row>
    <row r="73" ht="13.05" spans="1:23">
      <c r="A73" s="336" t="s">
        <v>109</v>
      </c>
      <c r="B73" s="330">
        <v>245</v>
      </c>
      <c r="C73" s="337" t="s">
        <v>105</v>
      </c>
      <c r="D73" s="289">
        <f t="shared" ref="D73:D89" si="20">IF(C73="","",MIN(B73:B73))</f>
        <v>245</v>
      </c>
      <c r="E73" s="338">
        <f t="shared" ref="E73:E89" si="21">IF(C73="","",MAX(B73:B73))</f>
        <v>245</v>
      </c>
      <c r="F73" s="339">
        <f t="shared" si="11"/>
        <v>245</v>
      </c>
      <c r="G73" s="289">
        <f t="shared" ref="G73:G89" si="22">IF(F73="","",IF(VLOOKUP(A73,Test_Limits,2,FALSE)="","",VLOOKUP(A73,Test_Limits,2,FALSE)))</f>
        <v>100</v>
      </c>
      <c r="H73" s="335" t="str">
        <f t="shared" ref="H73:H89" si="23">IF(G73="","",IF(D73&lt;G73,IF(VLOOKUP(A73,Test_Limits,5,FALSE)="PF","Fail","Info"),"Pass"))</f>
        <v>Pass</v>
      </c>
      <c r="I73" s="338">
        <f t="shared" ref="I73:I89" si="24">IF(F73="","",IF(VLOOKUP(A73,Test_Limits,3,FALSE)="","",VLOOKUP(A73,Test_Limits,3,FALSE)))</f>
        <v>9999</v>
      </c>
      <c r="J73" s="335" t="str">
        <f t="shared" ref="J73:J89" si="25">IF(I73="","",IF(E73&gt;I73,IF(VLOOKUP(A73,Test_Limits,5,FALSE)="PF","Fail","Info"),"Pass"))</f>
        <v>Pass</v>
      </c>
      <c r="K73" s="24"/>
      <c r="L73" s="24"/>
      <c r="Q73" s="351"/>
      <c r="R73" s="352">
        <f t="shared" si="8"/>
        <v>-1000000</v>
      </c>
      <c r="S73" s="352">
        <f t="shared" si="9"/>
        <v>1000000</v>
      </c>
      <c r="T73" s="352">
        <f t="shared" ref="T73:T104" si="26">IF(F73="",0,VLOOKUP(A73,Test_Limits,7,FALSE))</f>
        <v>5</v>
      </c>
      <c r="U73" s="352">
        <f t="shared" si="10"/>
        <v>5</v>
      </c>
      <c r="V73" s="353">
        <f t="shared" ref="V73:V104" si="27">VLOOKUP(A73,Test_Limits,6,FALSE)</f>
        <v>1</v>
      </c>
      <c r="W73" s="354"/>
    </row>
    <row r="74" ht="13.05" spans="1:23">
      <c r="A74" s="336" t="s">
        <v>110</v>
      </c>
      <c r="B74" s="330">
        <v>16.8</v>
      </c>
      <c r="C74" s="337" t="s">
        <v>103</v>
      </c>
      <c r="D74" s="289">
        <f t="shared" si="20"/>
        <v>16.8</v>
      </c>
      <c r="E74" s="338">
        <f t="shared" si="21"/>
        <v>16.8</v>
      </c>
      <c r="F74" s="339">
        <f t="shared" si="11"/>
        <v>16.8</v>
      </c>
      <c r="G74" s="289">
        <f t="shared" si="22"/>
        <v>14.2</v>
      </c>
      <c r="H74" s="335" t="str">
        <f t="shared" si="23"/>
        <v>Pass</v>
      </c>
      <c r="I74" s="338">
        <f t="shared" si="24"/>
        <v>22.7</v>
      </c>
      <c r="J74" s="335" t="str">
        <f t="shared" si="25"/>
        <v>Pass</v>
      </c>
      <c r="K74" s="24"/>
      <c r="L74" s="24"/>
      <c r="Q74" s="351"/>
      <c r="R74" s="352">
        <f t="shared" ref="R74:R88" si="28">IF(H74="Info",G74,IF(J74="Info",G74,-1000000))</f>
        <v>-1000000</v>
      </c>
      <c r="S74" s="352">
        <f t="shared" ref="S74:S88" si="29">IF(H74="Info",I74,IF(J74="Info",I74,1000000))</f>
        <v>1000000</v>
      </c>
      <c r="T74" s="352">
        <f t="shared" si="26"/>
        <v>1</v>
      </c>
      <c r="U74" s="352">
        <f t="shared" ref="U74:U128" si="30">IF(H74="Pass",IF(J74="Pass",T74,0),0)</f>
        <v>1</v>
      </c>
      <c r="V74" s="353">
        <f t="shared" si="27"/>
        <v>1</v>
      </c>
      <c r="W74" s="354"/>
    </row>
    <row r="75" ht="13.05" spans="1:23">
      <c r="A75" s="336" t="s">
        <v>111</v>
      </c>
      <c r="B75" s="330">
        <v>117.3</v>
      </c>
      <c r="C75" s="337" t="s">
        <v>105</v>
      </c>
      <c r="D75" s="289">
        <f t="shared" si="20"/>
        <v>117.3</v>
      </c>
      <c r="E75" s="338">
        <f t="shared" si="21"/>
        <v>117.3</v>
      </c>
      <c r="F75" s="339">
        <f t="shared" ref="F75:F133" si="31">IF(C75="","",IF(C75="    N/A","",IF(COUNTIF(B75:B75,"&gt;-1")&gt;0,ROUND((SUM(B75:B75)+COUNTIF(B75:B75,-1))/COUNTIF(B75:B75,"&gt;-1"),V75),ROUND(AVERAGE(B75:B75),V75))))</f>
        <v>117.3</v>
      </c>
      <c r="G75" s="289">
        <f t="shared" si="22"/>
        <v>100</v>
      </c>
      <c r="H75" s="335" t="str">
        <f t="shared" si="23"/>
        <v>Pass</v>
      </c>
      <c r="I75" s="338">
        <f t="shared" si="24"/>
        <v>9999</v>
      </c>
      <c r="J75" s="335" t="str">
        <f t="shared" si="25"/>
        <v>Pass</v>
      </c>
      <c r="K75" s="24"/>
      <c r="L75" s="24"/>
      <c r="Q75" s="351"/>
      <c r="R75" s="352">
        <f t="shared" si="28"/>
        <v>-1000000</v>
      </c>
      <c r="S75" s="352">
        <f t="shared" si="29"/>
        <v>1000000</v>
      </c>
      <c r="T75" s="352">
        <f t="shared" si="26"/>
        <v>5</v>
      </c>
      <c r="U75" s="352">
        <f t="shared" si="30"/>
        <v>5</v>
      </c>
      <c r="V75" s="353">
        <f t="shared" si="27"/>
        <v>1</v>
      </c>
      <c r="W75" s="354"/>
    </row>
    <row r="76" ht="13.05" spans="1:23">
      <c r="A76" s="336" t="s">
        <v>112</v>
      </c>
      <c r="B76" s="330"/>
      <c r="C76" s="337"/>
      <c r="D76" s="289" t="str">
        <f t="shared" si="20"/>
        <v/>
      </c>
      <c r="E76" s="338" t="str">
        <f t="shared" si="21"/>
        <v/>
      </c>
      <c r="F76" s="339" t="str">
        <f t="shared" si="31"/>
        <v/>
      </c>
      <c r="G76" s="289" t="str">
        <f t="shared" si="22"/>
        <v/>
      </c>
      <c r="H76" s="335" t="str">
        <f t="shared" si="23"/>
        <v/>
      </c>
      <c r="I76" s="338" t="str">
        <f t="shared" si="24"/>
        <v/>
      </c>
      <c r="J76" s="335" t="str">
        <f t="shared" si="25"/>
        <v/>
      </c>
      <c r="K76" s="24"/>
      <c r="L76" s="24"/>
      <c r="Q76" s="351"/>
      <c r="R76" s="352">
        <f t="shared" si="28"/>
        <v>-1000000</v>
      </c>
      <c r="S76" s="352">
        <f t="shared" si="29"/>
        <v>1000000</v>
      </c>
      <c r="T76" s="352">
        <f t="shared" si="26"/>
        <v>0</v>
      </c>
      <c r="U76" s="352">
        <f t="shared" si="30"/>
        <v>0</v>
      </c>
      <c r="V76" s="353" t="e">
        <f t="shared" si="27"/>
        <v>#N/A</v>
      </c>
      <c r="W76" s="354"/>
    </row>
    <row r="77" ht="13.05" spans="1:23">
      <c r="A77" s="336" t="s">
        <v>113</v>
      </c>
      <c r="B77" s="330">
        <v>100</v>
      </c>
      <c r="C77" s="337" t="s">
        <v>48</v>
      </c>
      <c r="D77" s="289">
        <f t="shared" si="20"/>
        <v>100</v>
      </c>
      <c r="E77" s="338">
        <f t="shared" si="21"/>
        <v>100</v>
      </c>
      <c r="F77" s="339">
        <f t="shared" si="31"/>
        <v>100</v>
      </c>
      <c r="G77" s="289">
        <f t="shared" si="22"/>
        <v>0</v>
      </c>
      <c r="H77" s="335" t="str">
        <f t="shared" si="23"/>
        <v>Pass</v>
      </c>
      <c r="I77" s="338">
        <f t="shared" si="24"/>
        <v>1750</v>
      </c>
      <c r="J77" s="335" t="str">
        <f t="shared" si="25"/>
        <v>Pass</v>
      </c>
      <c r="K77" s="24"/>
      <c r="L77" s="24"/>
      <c r="Q77" s="351"/>
      <c r="R77" s="352">
        <f t="shared" si="28"/>
        <v>-1000000</v>
      </c>
      <c r="S77" s="352">
        <f t="shared" si="29"/>
        <v>1000000</v>
      </c>
      <c r="T77" s="352">
        <f t="shared" si="26"/>
        <v>3</v>
      </c>
      <c r="U77" s="352">
        <f t="shared" si="30"/>
        <v>3</v>
      </c>
      <c r="V77" s="353">
        <f t="shared" si="27"/>
        <v>1</v>
      </c>
      <c r="W77" s="354"/>
    </row>
    <row r="78" ht="13.05" spans="1:23">
      <c r="A78" s="336" t="s">
        <v>114</v>
      </c>
      <c r="B78" s="330">
        <v>401.8</v>
      </c>
      <c r="C78" s="337" t="s">
        <v>48</v>
      </c>
      <c r="D78" s="289">
        <f t="shared" si="20"/>
        <v>401.8</v>
      </c>
      <c r="E78" s="338">
        <f t="shared" si="21"/>
        <v>401.8</v>
      </c>
      <c r="F78" s="339">
        <f t="shared" si="31"/>
        <v>401.8</v>
      </c>
      <c r="G78" s="289">
        <f t="shared" si="22"/>
        <v>400</v>
      </c>
      <c r="H78" s="335" t="str">
        <f t="shared" si="23"/>
        <v>Pass</v>
      </c>
      <c r="I78" s="338">
        <f t="shared" si="24"/>
        <v>1750</v>
      </c>
      <c r="J78" s="335" t="str">
        <f t="shared" si="25"/>
        <v>Pass</v>
      </c>
      <c r="K78" s="24"/>
      <c r="L78" s="24"/>
      <c r="Q78" s="351"/>
      <c r="R78" s="352">
        <f t="shared" si="28"/>
        <v>-1000000</v>
      </c>
      <c r="S78" s="352">
        <f t="shared" si="29"/>
        <v>1000000</v>
      </c>
      <c r="T78" s="352">
        <f t="shared" si="26"/>
        <v>5</v>
      </c>
      <c r="U78" s="352">
        <f t="shared" si="30"/>
        <v>5</v>
      </c>
      <c r="V78" s="353">
        <f t="shared" si="27"/>
        <v>1</v>
      </c>
      <c r="W78" s="354"/>
    </row>
    <row r="79" ht="13.05" spans="1:23">
      <c r="A79" s="336" t="s">
        <v>115</v>
      </c>
      <c r="B79" s="330">
        <v>60.2</v>
      </c>
      <c r="C79" s="337" t="s">
        <v>60</v>
      </c>
      <c r="D79" s="289">
        <f t="shared" si="20"/>
        <v>60.2</v>
      </c>
      <c r="E79" s="338">
        <f t="shared" si="21"/>
        <v>60.2</v>
      </c>
      <c r="F79" s="339">
        <f t="shared" si="31"/>
        <v>60.2</v>
      </c>
      <c r="G79" s="289">
        <f t="shared" si="22"/>
        <v>50</v>
      </c>
      <c r="H79" s="335" t="str">
        <f t="shared" si="23"/>
        <v>Pass</v>
      </c>
      <c r="I79" s="338">
        <f t="shared" si="24"/>
        <v>75</v>
      </c>
      <c r="J79" s="335" t="str">
        <f t="shared" si="25"/>
        <v>Pass</v>
      </c>
      <c r="K79" s="24"/>
      <c r="L79" s="24"/>
      <c r="Q79" s="351"/>
      <c r="R79" s="352">
        <f t="shared" si="28"/>
        <v>-1000000</v>
      </c>
      <c r="S79" s="352">
        <f t="shared" si="29"/>
        <v>1000000</v>
      </c>
      <c r="T79" s="352">
        <f t="shared" si="26"/>
        <v>3</v>
      </c>
      <c r="U79" s="352">
        <f t="shared" si="30"/>
        <v>3</v>
      </c>
      <c r="V79" s="353">
        <f t="shared" si="27"/>
        <v>1</v>
      </c>
      <c r="W79" s="354"/>
    </row>
    <row r="80" ht="13.05" spans="1:23">
      <c r="A80" s="336" t="s">
        <v>116</v>
      </c>
      <c r="B80" s="330">
        <v>54.2</v>
      </c>
      <c r="C80" s="337" t="s">
        <v>94</v>
      </c>
      <c r="D80" s="289">
        <f t="shared" si="20"/>
        <v>54.2</v>
      </c>
      <c r="E80" s="338">
        <f t="shared" si="21"/>
        <v>54.2</v>
      </c>
      <c r="F80" s="339">
        <f t="shared" si="31"/>
        <v>54.2</v>
      </c>
      <c r="G80" s="289">
        <f t="shared" si="22"/>
        <v>44</v>
      </c>
      <c r="H80" s="335" t="str">
        <f t="shared" si="23"/>
        <v>Pass</v>
      </c>
      <c r="I80" s="338">
        <f t="shared" si="24"/>
        <v>57</v>
      </c>
      <c r="J80" s="335" t="str">
        <f t="shared" si="25"/>
        <v>Pass</v>
      </c>
      <c r="K80" s="24"/>
      <c r="L80" s="24"/>
      <c r="Q80" s="351"/>
      <c r="R80" s="352">
        <f t="shared" si="28"/>
        <v>-1000000</v>
      </c>
      <c r="S80" s="352">
        <f t="shared" si="29"/>
        <v>1000000</v>
      </c>
      <c r="T80" s="352">
        <f t="shared" si="26"/>
        <v>5</v>
      </c>
      <c r="U80" s="352">
        <f t="shared" si="30"/>
        <v>5</v>
      </c>
      <c r="V80" s="353">
        <f t="shared" si="27"/>
        <v>1</v>
      </c>
      <c r="W80" s="354"/>
    </row>
    <row r="81" ht="13.05" spans="1:23">
      <c r="A81" s="336" t="s">
        <v>117</v>
      </c>
      <c r="B81" s="330">
        <v>100.5</v>
      </c>
      <c r="C81" s="337" t="s">
        <v>48</v>
      </c>
      <c r="D81" s="289">
        <f t="shared" si="20"/>
        <v>100.5</v>
      </c>
      <c r="E81" s="338">
        <f t="shared" si="21"/>
        <v>100.5</v>
      </c>
      <c r="F81" s="339">
        <f t="shared" si="31"/>
        <v>100.5</v>
      </c>
      <c r="G81" s="289">
        <f t="shared" si="22"/>
        <v>0</v>
      </c>
      <c r="H81" s="335" t="str">
        <f t="shared" si="23"/>
        <v>Pass</v>
      </c>
      <c r="I81" s="338">
        <f t="shared" si="24"/>
        <v>1750</v>
      </c>
      <c r="J81" s="335" t="str">
        <f t="shared" si="25"/>
        <v>Pass</v>
      </c>
      <c r="K81" s="24"/>
      <c r="L81" s="24"/>
      <c r="Q81" s="351"/>
      <c r="R81" s="352">
        <f t="shared" si="28"/>
        <v>-1000000</v>
      </c>
      <c r="S81" s="352">
        <f t="shared" si="29"/>
        <v>1000000</v>
      </c>
      <c r="T81" s="352">
        <f t="shared" si="26"/>
        <v>1</v>
      </c>
      <c r="U81" s="352">
        <f t="shared" si="30"/>
        <v>1</v>
      </c>
      <c r="V81" s="353">
        <f t="shared" si="27"/>
        <v>1</v>
      </c>
      <c r="W81" s="354"/>
    </row>
    <row r="82" ht="13.05" spans="1:23">
      <c r="A82" s="336" t="s">
        <v>118</v>
      </c>
      <c r="B82" s="330">
        <v>59.8</v>
      </c>
      <c r="C82" s="337" t="s">
        <v>60</v>
      </c>
      <c r="D82" s="289">
        <f t="shared" si="20"/>
        <v>59.8</v>
      </c>
      <c r="E82" s="338">
        <f t="shared" si="21"/>
        <v>59.8</v>
      </c>
      <c r="F82" s="339">
        <f t="shared" si="31"/>
        <v>59.8</v>
      </c>
      <c r="G82" s="289">
        <f t="shared" si="22"/>
        <v>50</v>
      </c>
      <c r="H82" s="335" t="str">
        <f t="shared" si="23"/>
        <v>Pass</v>
      </c>
      <c r="I82" s="338">
        <f t="shared" si="24"/>
        <v>9999</v>
      </c>
      <c r="J82" s="335" t="str">
        <f t="shared" si="25"/>
        <v>Pass</v>
      </c>
      <c r="K82" s="24"/>
      <c r="L82" s="24"/>
      <c r="Q82" s="351"/>
      <c r="R82" s="352">
        <f t="shared" si="28"/>
        <v>-1000000</v>
      </c>
      <c r="S82" s="352">
        <f t="shared" si="29"/>
        <v>1000000</v>
      </c>
      <c r="T82" s="352">
        <f t="shared" si="26"/>
        <v>1</v>
      </c>
      <c r="U82" s="352">
        <f t="shared" si="30"/>
        <v>1</v>
      </c>
      <c r="V82" s="353">
        <f t="shared" si="27"/>
        <v>1</v>
      </c>
      <c r="W82" s="354"/>
    </row>
    <row r="83" ht="13.05" spans="1:23">
      <c r="A83" s="336" t="s">
        <v>119</v>
      </c>
      <c r="B83" s="330">
        <v>-1</v>
      </c>
      <c r="C83" s="337" t="s">
        <v>105</v>
      </c>
      <c r="D83" s="289">
        <f t="shared" si="20"/>
        <v>-1</v>
      </c>
      <c r="E83" s="338">
        <f t="shared" si="21"/>
        <v>-1</v>
      </c>
      <c r="F83" s="339">
        <f t="shared" si="31"/>
        <v>-1</v>
      </c>
      <c r="G83" s="289">
        <f t="shared" si="22"/>
        <v>-1</v>
      </c>
      <c r="H83" s="335" t="str">
        <f t="shared" si="23"/>
        <v>Pass</v>
      </c>
      <c r="I83" s="338">
        <f t="shared" si="24"/>
        <v>-1</v>
      </c>
      <c r="J83" s="335" t="str">
        <f t="shared" si="25"/>
        <v>Pass</v>
      </c>
      <c r="K83" s="24"/>
      <c r="L83" s="24"/>
      <c r="Q83" s="351"/>
      <c r="R83" s="352">
        <f t="shared" si="28"/>
        <v>-1000000</v>
      </c>
      <c r="S83" s="352">
        <f t="shared" si="29"/>
        <v>1000000</v>
      </c>
      <c r="T83" s="352">
        <f t="shared" si="26"/>
        <v>3</v>
      </c>
      <c r="U83" s="352">
        <f t="shared" si="30"/>
        <v>3</v>
      </c>
      <c r="V83" s="353">
        <f t="shared" si="27"/>
        <v>1</v>
      </c>
      <c r="W83" s="354"/>
    </row>
    <row r="84" ht="13.05" spans="1:23">
      <c r="A84" s="336" t="s">
        <v>120</v>
      </c>
      <c r="B84" s="330"/>
      <c r="C84" s="337"/>
      <c r="D84" s="289" t="str">
        <f t="shared" si="20"/>
        <v/>
      </c>
      <c r="E84" s="338" t="str">
        <f t="shared" si="21"/>
        <v/>
      </c>
      <c r="F84" s="339" t="str">
        <f t="shared" si="31"/>
        <v/>
      </c>
      <c r="G84" s="289" t="str">
        <f t="shared" si="22"/>
        <v/>
      </c>
      <c r="H84" s="335" t="str">
        <f t="shared" si="23"/>
        <v/>
      </c>
      <c r="I84" s="338" t="str">
        <f t="shared" si="24"/>
        <v/>
      </c>
      <c r="J84" s="335" t="str">
        <f t="shared" si="25"/>
        <v/>
      </c>
      <c r="K84" s="24"/>
      <c r="L84" s="24"/>
      <c r="Q84" s="351"/>
      <c r="R84" s="352">
        <f t="shared" si="28"/>
        <v>-1000000</v>
      </c>
      <c r="S84" s="352">
        <f t="shared" si="29"/>
        <v>1000000</v>
      </c>
      <c r="T84" s="352">
        <f t="shared" si="26"/>
        <v>0</v>
      </c>
      <c r="U84" s="352">
        <f t="shared" si="30"/>
        <v>0</v>
      </c>
      <c r="V84" s="353" t="e">
        <f t="shared" si="27"/>
        <v>#N/A</v>
      </c>
      <c r="W84" s="354"/>
    </row>
    <row r="85" ht="13.05" spans="1:23">
      <c r="A85" s="336" t="s">
        <v>121</v>
      </c>
      <c r="B85" s="330">
        <v>125</v>
      </c>
      <c r="C85" s="337" t="s">
        <v>105</v>
      </c>
      <c r="D85" s="289">
        <f t="shared" si="20"/>
        <v>125</v>
      </c>
      <c r="E85" s="338">
        <f t="shared" si="21"/>
        <v>125</v>
      </c>
      <c r="F85" s="339">
        <f t="shared" si="31"/>
        <v>125</v>
      </c>
      <c r="G85" s="289">
        <f t="shared" si="22"/>
        <v>100</v>
      </c>
      <c r="H85" s="335" t="str">
        <f t="shared" si="23"/>
        <v>Pass</v>
      </c>
      <c r="I85" s="338">
        <f t="shared" si="24"/>
        <v>125</v>
      </c>
      <c r="J85" s="335" t="str">
        <f t="shared" si="25"/>
        <v>Pass</v>
      </c>
      <c r="K85" s="24"/>
      <c r="L85" s="24"/>
      <c r="Q85" s="351"/>
      <c r="R85" s="352">
        <f t="shared" si="28"/>
        <v>-1000000</v>
      </c>
      <c r="S85" s="352">
        <f t="shared" si="29"/>
        <v>1000000</v>
      </c>
      <c r="T85" s="352">
        <f t="shared" si="26"/>
        <v>5</v>
      </c>
      <c r="U85" s="352">
        <f t="shared" si="30"/>
        <v>5</v>
      </c>
      <c r="V85" s="353">
        <f t="shared" si="27"/>
        <v>1</v>
      </c>
      <c r="W85" s="354"/>
    </row>
    <row r="86" ht="13.05" spans="1:23">
      <c r="A86" s="336" t="s">
        <v>122</v>
      </c>
      <c r="B86" s="330">
        <v>54.2</v>
      </c>
      <c r="C86" s="337" t="s">
        <v>94</v>
      </c>
      <c r="D86" s="289">
        <f t="shared" si="20"/>
        <v>54.2</v>
      </c>
      <c r="E86" s="338">
        <f t="shared" si="21"/>
        <v>54.2</v>
      </c>
      <c r="F86" s="339">
        <f t="shared" si="31"/>
        <v>54.2</v>
      </c>
      <c r="G86" s="289">
        <f t="shared" si="22"/>
        <v>44</v>
      </c>
      <c r="H86" s="335" t="str">
        <f t="shared" si="23"/>
        <v>Pass</v>
      </c>
      <c r="I86" s="338">
        <f t="shared" si="24"/>
        <v>57</v>
      </c>
      <c r="J86" s="335" t="str">
        <f t="shared" si="25"/>
        <v>Pass</v>
      </c>
      <c r="K86" s="24"/>
      <c r="L86" s="24"/>
      <c r="Q86" s="351"/>
      <c r="R86" s="352">
        <f t="shared" si="28"/>
        <v>-1000000</v>
      </c>
      <c r="S86" s="352">
        <f t="shared" si="29"/>
        <v>1000000</v>
      </c>
      <c r="T86" s="352">
        <f t="shared" si="26"/>
        <v>5</v>
      </c>
      <c r="U86" s="352">
        <f t="shared" si="30"/>
        <v>5</v>
      </c>
      <c r="V86" s="353">
        <f t="shared" si="27"/>
        <v>1</v>
      </c>
      <c r="W86" s="354"/>
    </row>
    <row r="87" ht="13.05" spans="1:23">
      <c r="A87" s="336" t="s">
        <v>123</v>
      </c>
      <c r="B87" s="330">
        <v>54.3</v>
      </c>
      <c r="C87" s="337" t="s">
        <v>94</v>
      </c>
      <c r="D87" s="289">
        <f t="shared" si="20"/>
        <v>54.3</v>
      </c>
      <c r="E87" s="338">
        <f t="shared" si="21"/>
        <v>54.3</v>
      </c>
      <c r="F87" s="339">
        <f t="shared" si="31"/>
        <v>54.3</v>
      </c>
      <c r="G87" s="289">
        <f t="shared" si="22"/>
        <v>44</v>
      </c>
      <c r="H87" s="335" t="str">
        <f t="shared" si="23"/>
        <v>Pass</v>
      </c>
      <c r="I87" s="338">
        <f t="shared" si="24"/>
        <v>57</v>
      </c>
      <c r="J87" s="335" t="str">
        <f t="shared" si="25"/>
        <v>Pass</v>
      </c>
      <c r="K87" s="24"/>
      <c r="L87" s="24"/>
      <c r="Q87" s="351"/>
      <c r="R87" s="352">
        <f t="shared" si="28"/>
        <v>-1000000</v>
      </c>
      <c r="S87" s="352">
        <f t="shared" si="29"/>
        <v>1000000</v>
      </c>
      <c r="T87" s="352">
        <f t="shared" si="26"/>
        <v>5</v>
      </c>
      <c r="U87" s="352">
        <f t="shared" si="30"/>
        <v>5</v>
      </c>
      <c r="V87" s="353">
        <f t="shared" si="27"/>
        <v>1</v>
      </c>
      <c r="W87" s="354"/>
    </row>
    <row r="88" ht="13.05" spans="1:23">
      <c r="A88" s="336" t="s">
        <v>124</v>
      </c>
      <c r="B88" s="330"/>
      <c r="C88" s="337"/>
      <c r="D88" s="289" t="str">
        <f t="shared" si="20"/>
        <v/>
      </c>
      <c r="E88" s="338" t="str">
        <f t="shared" si="21"/>
        <v/>
      </c>
      <c r="F88" s="339" t="str">
        <f t="shared" si="31"/>
        <v/>
      </c>
      <c r="G88" s="289" t="str">
        <f t="shared" si="22"/>
        <v/>
      </c>
      <c r="H88" s="335" t="str">
        <f t="shared" si="23"/>
        <v/>
      </c>
      <c r="I88" s="338" t="str">
        <f t="shared" si="24"/>
        <v/>
      </c>
      <c r="J88" s="335" t="str">
        <f t="shared" si="25"/>
        <v/>
      </c>
      <c r="K88" s="24"/>
      <c r="L88" s="24"/>
      <c r="Q88" s="351"/>
      <c r="R88" s="352">
        <f t="shared" si="28"/>
        <v>-1000000</v>
      </c>
      <c r="S88" s="352">
        <f t="shared" si="29"/>
        <v>1000000</v>
      </c>
      <c r="T88" s="352">
        <f t="shared" si="26"/>
        <v>0</v>
      </c>
      <c r="U88" s="352">
        <f t="shared" si="30"/>
        <v>0</v>
      </c>
      <c r="V88" s="353" t="e">
        <f t="shared" si="27"/>
        <v>#N/A</v>
      </c>
      <c r="W88" s="354"/>
    </row>
    <row r="89" ht="13.05" spans="1:23">
      <c r="A89" s="336" t="s">
        <v>125</v>
      </c>
      <c r="B89" s="330">
        <v>15</v>
      </c>
      <c r="C89" s="337" t="s">
        <v>60</v>
      </c>
      <c r="D89" s="289">
        <f t="shared" si="20"/>
        <v>15</v>
      </c>
      <c r="E89" s="338">
        <f t="shared" si="21"/>
        <v>15</v>
      </c>
      <c r="F89" s="339">
        <f t="shared" si="31"/>
        <v>15</v>
      </c>
      <c r="G89" s="289">
        <f t="shared" si="22"/>
        <v>1</v>
      </c>
      <c r="H89" s="335" t="str">
        <f t="shared" si="23"/>
        <v>Pass</v>
      </c>
      <c r="I89" s="338">
        <f t="shared" si="24"/>
        <v>60</v>
      </c>
      <c r="J89" s="335" t="str">
        <f t="shared" si="25"/>
        <v>Pass</v>
      </c>
      <c r="K89" s="24"/>
      <c r="L89" s="24"/>
      <c r="Q89" s="351"/>
      <c r="R89" s="352">
        <f t="shared" ref="R89:R128" si="32">IF(H89="Info",G89,IF(J89="Info",G89,-1000000))</f>
        <v>-1000000</v>
      </c>
      <c r="S89" s="352">
        <f t="shared" ref="S89:S128" si="33">IF(H89="Info",I89,IF(J89="Info",I89,1000000))</f>
        <v>1000000</v>
      </c>
      <c r="T89" s="352">
        <f t="shared" si="26"/>
        <v>5</v>
      </c>
      <c r="U89" s="352">
        <f t="shared" si="30"/>
        <v>5</v>
      </c>
      <c r="V89" s="353">
        <f t="shared" si="27"/>
        <v>1</v>
      </c>
      <c r="W89" s="354"/>
    </row>
    <row r="90" ht="13.05" spans="1:23">
      <c r="A90" s="336" t="s">
        <v>126</v>
      </c>
      <c r="B90" s="330">
        <v>1</v>
      </c>
      <c r="C90" s="337" t="s">
        <v>44</v>
      </c>
      <c r="D90" s="289">
        <f t="shared" ref="D90:D133" si="34">IF(C90="","",MIN(B90:B90))</f>
        <v>1</v>
      </c>
      <c r="E90" s="338">
        <f t="shared" ref="E90:E133" si="35">IF(C90="","",MAX(B90:B90))</f>
        <v>1</v>
      </c>
      <c r="F90" s="339">
        <f t="shared" si="31"/>
        <v>1</v>
      </c>
      <c r="G90" s="289">
        <f t="shared" ref="G90:G133" si="36">IF(F90="","",IF(VLOOKUP(A90,Test_Limits,2,FALSE)="","",VLOOKUP(A90,Test_Limits,2,FALSE)))</f>
        <v>1</v>
      </c>
      <c r="H90" s="335" t="str">
        <f t="shared" ref="H90:H133" si="37">IF(G90="","",IF(D90&lt;G90,IF(VLOOKUP(A90,Test_Limits,5,FALSE)="PF","Fail","Info"),"Pass"))</f>
        <v>Pass</v>
      </c>
      <c r="I90" s="338">
        <f t="shared" ref="I90:I133" si="38">IF(F90="","",IF(VLOOKUP(A90,Test_Limits,3,FALSE)="","",VLOOKUP(A90,Test_Limits,3,FALSE)))</f>
        <v>1</v>
      </c>
      <c r="J90" s="335" t="str">
        <f t="shared" ref="J90:J133" si="39">IF(I90="","",IF(E90&gt;I90,IF(VLOOKUP(A90,Test_Limits,5,FALSE)="PF","Fail","Info"),"Pass"))</f>
        <v>Pass</v>
      </c>
      <c r="K90" s="24"/>
      <c r="L90" s="24"/>
      <c r="Q90" s="351"/>
      <c r="R90" s="352">
        <f t="shared" si="32"/>
        <v>-1000000</v>
      </c>
      <c r="S90" s="352">
        <f t="shared" si="33"/>
        <v>1000000</v>
      </c>
      <c r="T90" s="352">
        <f t="shared" si="26"/>
        <v>5</v>
      </c>
      <c r="U90" s="352">
        <f t="shared" si="30"/>
        <v>5</v>
      </c>
      <c r="V90" s="353">
        <f t="shared" si="27"/>
        <v>0</v>
      </c>
      <c r="W90" s="354"/>
    </row>
    <row r="91" ht="13.05" spans="1:23">
      <c r="A91" s="336" t="s">
        <v>127</v>
      </c>
      <c r="B91" s="330"/>
      <c r="C91" s="337"/>
      <c r="D91" s="289" t="str">
        <f t="shared" si="34"/>
        <v/>
      </c>
      <c r="E91" s="338" t="str">
        <f t="shared" si="35"/>
        <v/>
      </c>
      <c r="F91" s="339" t="str">
        <f t="shared" si="31"/>
        <v/>
      </c>
      <c r="G91" s="289" t="str">
        <f t="shared" si="36"/>
        <v/>
      </c>
      <c r="H91" s="335" t="str">
        <f t="shared" si="37"/>
        <v/>
      </c>
      <c r="I91" s="338" t="str">
        <f t="shared" si="38"/>
        <v/>
      </c>
      <c r="J91" s="335" t="str">
        <f t="shared" si="39"/>
        <v/>
      </c>
      <c r="K91" s="24"/>
      <c r="L91" s="24"/>
      <c r="Q91" s="351"/>
      <c r="R91" s="352">
        <f t="shared" si="32"/>
        <v>-1000000</v>
      </c>
      <c r="S91" s="352">
        <f t="shared" si="33"/>
        <v>1000000</v>
      </c>
      <c r="T91" s="352">
        <f t="shared" si="26"/>
        <v>0</v>
      </c>
      <c r="U91" s="352">
        <f t="shared" si="30"/>
        <v>0</v>
      </c>
      <c r="V91" s="353" t="e">
        <f t="shared" si="27"/>
        <v>#N/A</v>
      </c>
      <c r="W91" s="354"/>
    </row>
    <row r="92" ht="13.05" spans="1:23">
      <c r="A92" s="336" t="s">
        <v>128</v>
      </c>
      <c r="B92" s="330">
        <v>8</v>
      </c>
      <c r="C92" s="337" t="s">
        <v>48</v>
      </c>
      <c r="D92" s="289">
        <f t="shared" si="34"/>
        <v>8</v>
      </c>
      <c r="E92" s="338">
        <f t="shared" si="35"/>
        <v>8</v>
      </c>
      <c r="F92" s="339">
        <f t="shared" si="31"/>
        <v>8</v>
      </c>
      <c r="G92" s="289">
        <f t="shared" si="36"/>
        <v>5</v>
      </c>
      <c r="H92" s="335" t="str">
        <f t="shared" si="37"/>
        <v>Pass</v>
      </c>
      <c r="I92" s="338">
        <f t="shared" si="38"/>
        <v>10</v>
      </c>
      <c r="J92" s="335" t="str">
        <f t="shared" si="39"/>
        <v>Pass</v>
      </c>
      <c r="K92" s="24"/>
      <c r="L92" s="24"/>
      <c r="Q92" s="351"/>
      <c r="R92" s="352">
        <f t="shared" si="32"/>
        <v>-1000000</v>
      </c>
      <c r="S92" s="352">
        <f t="shared" si="33"/>
        <v>1000000</v>
      </c>
      <c r="T92" s="352">
        <f t="shared" si="26"/>
        <v>5</v>
      </c>
      <c r="U92" s="352">
        <f t="shared" si="30"/>
        <v>5</v>
      </c>
      <c r="V92" s="353">
        <f t="shared" si="27"/>
        <v>1</v>
      </c>
      <c r="W92" s="354"/>
    </row>
    <row r="93" ht="13.05" spans="1:23">
      <c r="A93" s="336" t="s">
        <v>129</v>
      </c>
      <c r="B93" s="330">
        <v>364</v>
      </c>
      <c r="C93" s="337" t="s">
        <v>60</v>
      </c>
      <c r="D93" s="289">
        <f t="shared" si="34"/>
        <v>364</v>
      </c>
      <c r="E93" s="338">
        <f t="shared" si="35"/>
        <v>364</v>
      </c>
      <c r="F93" s="339">
        <f t="shared" si="31"/>
        <v>364</v>
      </c>
      <c r="G93" s="289">
        <f t="shared" si="36"/>
        <v>300</v>
      </c>
      <c r="H93" s="335" t="str">
        <f t="shared" si="37"/>
        <v>Pass</v>
      </c>
      <c r="I93" s="338">
        <f t="shared" si="38"/>
        <v>400</v>
      </c>
      <c r="J93" s="335" t="str">
        <f t="shared" si="39"/>
        <v>Pass</v>
      </c>
      <c r="K93" s="24"/>
      <c r="L93" s="24"/>
      <c r="Q93" s="351"/>
      <c r="R93" s="352">
        <f t="shared" si="32"/>
        <v>-1000000</v>
      </c>
      <c r="S93" s="352">
        <f t="shared" si="33"/>
        <v>1000000</v>
      </c>
      <c r="T93" s="352">
        <f t="shared" si="26"/>
        <v>1</v>
      </c>
      <c r="U93" s="352">
        <f t="shared" si="30"/>
        <v>1</v>
      </c>
      <c r="V93" s="353">
        <f t="shared" si="27"/>
        <v>0</v>
      </c>
      <c r="W93" s="354"/>
    </row>
    <row r="94" ht="13.05" spans="1:23">
      <c r="A94" s="336" t="s">
        <v>130</v>
      </c>
      <c r="B94" s="330">
        <v>25.2</v>
      </c>
      <c r="C94" s="337" t="s">
        <v>32</v>
      </c>
      <c r="D94" s="289">
        <f t="shared" si="34"/>
        <v>25.2</v>
      </c>
      <c r="E94" s="338">
        <f t="shared" si="35"/>
        <v>25.2</v>
      </c>
      <c r="F94" s="339">
        <f t="shared" si="31"/>
        <v>25.2</v>
      </c>
      <c r="G94" s="289">
        <f t="shared" si="36"/>
        <v>-1</v>
      </c>
      <c r="H94" s="335" t="str">
        <f t="shared" si="37"/>
        <v>Pass</v>
      </c>
      <c r="I94" s="338">
        <f t="shared" si="38"/>
        <v>30</v>
      </c>
      <c r="J94" s="335" t="str">
        <f t="shared" si="39"/>
        <v>Pass</v>
      </c>
      <c r="K94" s="24"/>
      <c r="L94" s="24"/>
      <c r="Q94" s="351"/>
      <c r="R94" s="352">
        <f t="shared" si="32"/>
        <v>-1000000</v>
      </c>
      <c r="S94" s="352">
        <f t="shared" si="33"/>
        <v>1000000</v>
      </c>
      <c r="T94" s="352">
        <f t="shared" si="26"/>
        <v>1</v>
      </c>
      <c r="U94" s="352">
        <f t="shared" si="30"/>
        <v>1</v>
      </c>
      <c r="V94" s="353">
        <f t="shared" si="27"/>
        <v>1</v>
      </c>
      <c r="W94" s="354"/>
    </row>
    <row r="95" ht="13.05" spans="1:23">
      <c r="A95" s="336" t="s">
        <v>131</v>
      </c>
      <c r="B95" s="330"/>
      <c r="C95" s="337"/>
      <c r="D95" s="289" t="str">
        <f t="shared" si="34"/>
        <v/>
      </c>
      <c r="E95" s="338" t="str">
        <f t="shared" si="35"/>
        <v/>
      </c>
      <c r="F95" s="339" t="str">
        <f t="shared" si="31"/>
        <v/>
      </c>
      <c r="G95" s="289" t="str">
        <f t="shared" si="36"/>
        <v/>
      </c>
      <c r="H95" s="335" t="str">
        <f t="shared" si="37"/>
        <v/>
      </c>
      <c r="I95" s="338" t="str">
        <f t="shared" si="38"/>
        <v/>
      </c>
      <c r="J95" s="335" t="str">
        <f t="shared" si="39"/>
        <v/>
      </c>
      <c r="K95" s="24"/>
      <c r="L95" s="24"/>
      <c r="Q95" s="351"/>
      <c r="R95" s="352">
        <f t="shared" si="32"/>
        <v>-1000000</v>
      </c>
      <c r="S95" s="352">
        <f t="shared" si="33"/>
        <v>1000000</v>
      </c>
      <c r="T95" s="352">
        <f t="shared" si="26"/>
        <v>0</v>
      </c>
      <c r="U95" s="352">
        <f t="shared" si="30"/>
        <v>0</v>
      </c>
      <c r="V95" s="353" t="e">
        <f t="shared" si="27"/>
        <v>#N/A</v>
      </c>
      <c r="W95" s="354"/>
    </row>
    <row r="96" ht="13.05" spans="1:23">
      <c r="A96" s="336" t="s">
        <v>132</v>
      </c>
      <c r="B96" s="330">
        <v>322.5</v>
      </c>
      <c r="C96" s="337" t="s">
        <v>48</v>
      </c>
      <c r="D96" s="289">
        <f t="shared" si="34"/>
        <v>322.5</v>
      </c>
      <c r="E96" s="338">
        <f t="shared" si="35"/>
        <v>322.5</v>
      </c>
      <c r="F96" s="339">
        <f t="shared" si="31"/>
        <v>322.5</v>
      </c>
      <c r="G96" s="289">
        <f t="shared" si="36"/>
        <v>-1</v>
      </c>
      <c r="H96" s="335" t="str">
        <f t="shared" si="37"/>
        <v>Pass</v>
      </c>
      <c r="I96" s="338">
        <f t="shared" si="38"/>
        <v>1750</v>
      </c>
      <c r="J96" s="335" t="str">
        <f t="shared" si="39"/>
        <v>Pass</v>
      </c>
      <c r="K96" s="24"/>
      <c r="L96" s="24"/>
      <c r="Q96" s="351"/>
      <c r="R96" s="352">
        <f t="shared" si="32"/>
        <v>-1000000</v>
      </c>
      <c r="S96" s="352">
        <f t="shared" si="33"/>
        <v>1000000</v>
      </c>
      <c r="T96" s="352">
        <f t="shared" si="26"/>
        <v>5</v>
      </c>
      <c r="U96" s="352">
        <f t="shared" si="30"/>
        <v>5</v>
      </c>
      <c r="V96" s="353">
        <f t="shared" si="27"/>
        <v>1</v>
      </c>
      <c r="W96" s="354"/>
    </row>
    <row r="97" ht="13.05" spans="1:23">
      <c r="A97" s="336" t="s">
        <v>133</v>
      </c>
      <c r="B97" s="330">
        <v>61.6</v>
      </c>
      <c r="C97" s="337" t="s">
        <v>60</v>
      </c>
      <c r="D97" s="289">
        <f t="shared" si="34"/>
        <v>61.6</v>
      </c>
      <c r="E97" s="338">
        <f t="shared" si="35"/>
        <v>61.6</v>
      </c>
      <c r="F97" s="339">
        <f t="shared" si="31"/>
        <v>61.6</v>
      </c>
      <c r="G97" s="289">
        <f t="shared" si="36"/>
        <v>50</v>
      </c>
      <c r="H97" s="335" t="str">
        <f t="shared" si="37"/>
        <v>Pass</v>
      </c>
      <c r="I97" s="338">
        <f t="shared" si="38"/>
        <v>9999</v>
      </c>
      <c r="J97" s="335" t="str">
        <f t="shared" si="39"/>
        <v>Pass</v>
      </c>
      <c r="K97" s="24"/>
      <c r="L97" s="24"/>
      <c r="Q97" s="351"/>
      <c r="R97" s="352">
        <f t="shared" si="32"/>
        <v>-1000000</v>
      </c>
      <c r="S97" s="352">
        <f t="shared" si="33"/>
        <v>1000000</v>
      </c>
      <c r="T97" s="352">
        <f t="shared" si="26"/>
        <v>1</v>
      </c>
      <c r="U97" s="352">
        <f t="shared" si="30"/>
        <v>1</v>
      </c>
      <c r="V97" s="353">
        <f t="shared" si="27"/>
        <v>1</v>
      </c>
      <c r="W97" s="354"/>
    </row>
    <row r="98" ht="13.05" spans="1:23">
      <c r="A98" s="336" t="s">
        <v>134</v>
      </c>
      <c r="B98" s="330">
        <v>-1</v>
      </c>
      <c r="C98" s="337" t="s">
        <v>48</v>
      </c>
      <c r="D98" s="289">
        <f t="shared" si="34"/>
        <v>-1</v>
      </c>
      <c r="E98" s="338">
        <f t="shared" si="35"/>
        <v>-1</v>
      </c>
      <c r="F98" s="339">
        <f t="shared" si="31"/>
        <v>-1</v>
      </c>
      <c r="G98" s="289">
        <f t="shared" si="36"/>
        <v>-1</v>
      </c>
      <c r="H98" s="335" t="str">
        <f t="shared" si="37"/>
        <v>Pass</v>
      </c>
      <c r="I98" s="338">
        <f t="shared" si="38"/>
        <v>399</v>
      </c>
      <c r="J98" s="335" t="str">
        <f t="shared" si="39"/>
        <v>Pass</v>
      </c>
      <c r="K98" s="24"/>
      <c r="L98" s="24"/>
      <c r="Q98" s="351"/>
      <c r="R98" s="352">
        <f t="shared" si="32"/>
        <v>-1000000</v>
      </c>
      <c r="S98" s="352">
        <f t="shared" si="33"/>
        <v>1000000</v>
      </c>
      <c r="T98" s="352">
        <f t="shared" si="26"/>
        <v>5</v>
      </c>
      <c r="U98" s="352">
        <f t="shared" si="30"/>
        <v>5</v>
      </c>
      <c r="V98" s="353">
        <f t="shared" si="27"/>
        <v>1</v>
      </c>
      <c r="W98" s="354"/>
    </row>
    <row r="99" ht="13.05" spans="1:23">
      <c r="A99" s="336" t="s">
        <v>135</v>
      </c>
      <c r="B99" s="330">
        <v>-1</v>
      </c>
      <c r="C99" s="337" t="s">
        <v>60</v>
      </c>
      <c r="D99" s="289">
        <f t="shared" si="34"/>
        <v>-1</v>
      </c>
      <c r="E99" s="338">
        <f t="shared" si="35"/>
        <v>-1</v>
      </c>
      <c r="F99" s="339">
        <f t="shared" si="31"/>
        <v>-1</v>
      </c>
      <c r="G99" s="289">
        <f t="shared" si="36"/>
        <v>-1</v>
      </c>
      <c r="H99" s="335" t="str">
        <f t="shared" si="37"/>
        <v>Pass</v>
      </c>
      <c r="I99" s="338">
        <f t="shared" si="38"/>
        <v>2000</v>
      </c>
      <c r="J99" s="335" t="str">
        <f t="shared" si="39"/>
        <v>Pass</v>
      </c>
      <c r="K99" s="24"/>
      <c r="L99" s="24"/>
      <c r="Q99" s="351"/>
      <c r="R99" s="352">
        <f t="shared" si="32"/>
        <v>-1000000</v>
      </c>
      <c r="S99" s="352">
        <f t="shared" si="33"/>
        <v>1000000</v>
      </c>
      <c r="T99" s="352">
        <f t="shared" si="26"/>
        <v>1</v>
      </c>
      <c r="U99" s="352">
        <f t="shared" si="30"/>
        <v>1</v>
      </c>
      <c r="V99" s="353">
        <f t="shared" si="27"/>
        <v>1</v>
      </c>
      <c r="W99" s="354"/>
    </row>
    <row r="100" ht="13.05" spans="1:23">
      <c r="A100" s="336" t="s">
        <v>136</v>
      </c>
      <c r="B100" s="330"/>
      <c r="C100" s="337"/>
      <c r="D100" s="289" t="str">
        <f t="shared" si="34"/>
        <v/>
      </c>
      <c r="E100" s="338" t="str">
        <f t="shared" si="35"/>
        <v/>
      </c>
      <c r="F100" s="339" t="str">
        <f t="shared" si="31"/>
        <v/>
      </c>
      <c r="G100" s="289" t="str">
        <f t="shared" si="36"/>
        <v/>
      </c>
      <c r="H100" s="335" t="str">
        <f t="shared" si="37"/>
        <v/>
      </c>
      <c r="I100" s="338" t="str">
        <f t="shared" si="38"/>
        <v/>
      </c>
      <c r="J100" s="335" t="str">
        <f t="shared" si="39"/>
        <v/>
      </c>
      <c r="K100" s="24"/>
      <c r="L100" s="24"/>
      <c r="Q100" s="351"/>
      <c r="R100" s="352">
        <f t="shared" si="32"/>
        <v>-1000000</v>
      </c>
      <c r="S100" s="352">
        <f t="shared" si="33"/>
        <v>1000000</v>
      </c>
      <c r="T100" s="352">
        <f t="shared" si="26"/>
        <v>0</v>
      </c>
      <c r="U100" s="352">
        <f t="shared" si="30"/>
        <v>0</v>
      </c>
      <c r="V100" s="353" t="e">
        <f t="shared" si="27"/>
        <v>#N/A</v>
      </c>
      <c r="W100" s="354"/>
    </row>
    <row r="101" ht="13.05" spans="1:23">
      <c r="A101" s="336" t="s">
        <v>137</v>
      </c>
      <c r="B101" s="330">
        <v>24.4</v>
      </c>
      <c r="C101" s="337" t="s">
        <v>138</v>
      </c>
      <c r="D101" s="289">
        <f t="shared" si="34"/>
        <v>24.4</v>
      </c>
      <c r="E101" s="338">
        <f t="shared" si="35"/>
        <v>24.4</v>
      </c>
      <c r="F101" s="339">
        <f t="shared" si="31"/>
        <v>24.4</v>
      </c>
      <c r="G101" s="289">
        <f t="shared" si="36"/>
        <v>0</v>
      </c>
      <c r="H101" s="335" t="str">
        <f t="shared" si="37"/>
        <v>Pass</v>
      </c>
      <c r="I101" s="338">
        <f t="shared" si="38"/>
        <v>500</v>
      </c>
      <c r="J101" s="335" t="str">
        <f t="shared" si="39"/>
        <v>Pass</v>
      </c>
      <c r="K101" s="24"/>
      <c r="L101" s="24"/>
      <c r="Q101" s="351"/>
      <c r="R101" s="352">
        <f t="shared" si="32"/>
        <v>-1000000</v>
      </c>
      <c r="S101" s="352">
        <f t="shared" si="33"/>
        <v>1000000</v>
      </c>
      <c r="T101" s="352">
        <f t="shared" si="26"/>
        <v>1</v>
      </c>
      <c r="U101" s="352">
        <f t="shared" si="30"/>
        <v>1</v>
      </c>
      <c r="V101" s="353">
        <f t="shared" si="27"/>
        <v>1</v>
      </c>
      <c r="W101" s="354"/>
    </row>
    <row r="102" ht="13.05" spans="1:23">
      <c r="A102" s="336" t="s">
        <v>139</v>
      </c>
      <c r="B102" s="330">
        <v>0.0947</v>
      </c>
      <c r="C102" s="337" t="s">
        <v>56</v>
      </c>
      <c r="D102" s="289">
        <f t="shared" si="34"/>
        <v>0.0947</v>
      </c>
      <c r="E102" s="338">
        <f t="shared" si="35"/>
        <v>0.0947</v>
      </c>
      <c r="F102" s="339">
        <f t="shared" si="31"/>
        <v>0.09</v>
      </c>
      <c r="G102" s="289">
        <f t="shared" si="36"/>
        <v>-1</v>
      </c>
      <c r="H102" s="335" t="str">
        <f t="shared" si="37"/>
        <v>Pass</v>
      </c>
      <c r="I102" s="338">
        <f t="shared" si="38"/>
        <v>0.52</v>
      </c>
      <c r="J102" s="335" t="str">
        <f t="shared" si="39"/>
        <v>Pass</v>
      </c>
      <c r="K102" s="24"/>
      <c r="L102" s="24"/>
      <c r="Q102" s="351"/>
      <c r="R102" s="352">
        <f t="shared" si="32"/>
        <v>-1000000</v>
      </c>
      <c r="S102" s="352">
        <f t="shared" si="33"/>
        <v>1000000</v>
      </c>
      <c r="T102" s="352">
        <f t="shared" si="26"/>
        <v>1</v>
      </c>
      <c r="U102" s="352">
        <f t="shared" si="30"/>
        <v>1</v>
      </c>
      <c r="V102" s="353">
        <f t="shared" si="27"/>
        <v>2</v>
      </c>
      <c r="W102" s="354"/>
    </row>
    <row r="103" ht="13.05" spans="1:23">
      <c r="A103" s="336" t="s">
        <v>140</v>
      </c>
      <c r="B103" s="330">
        <v>124.9</v>
      </c>
      <c r="C103" s="337" t="s">
        <v>52</v>
      </c>
      <c r="D103" s="289">
        <f t="shared" si="34"/>
        <v>124.9</v>
      </c>
      <c r="E103" s="338">
        <f t="shared" si="35"/>
        <v>124.9</v>
      </c>
      <c r="F103" s="339">
        <f t="shared" si="31"/>
        <v>125</v>
      </c>
      <c r="G103" s="289">
        <f t="shared" si="36"/>
        <v>45</v>
      </c>
      <c r="H103" s="335" t="str">
        <f t="shared" si="37"/>
        <v>Pass</v>
      </c>
      <c r="I103" s="338">
        <f t="shared" si="38"/>
        <v>50000</v>
      </c>
      <c r="J103" s="335" t="str">
        <f t="shared" si="39"/>
        <v>Pass</v>
      </c>
      <c r="K103" s="24"/>
      <c r="L103" s="24"/>
      <c r="Q103" s="351"/>
      <c r="R103" s="352">
        <f t="shared" si="32"/>
        <v>-1000000</v>
      </c>
      <c r="S103" s="352">
        <f t="shared" si="33"/>
        <v>1000000</v>
      </c>
      <c r="T103" s="352">
        <f t="shared" si="26"/>
        <v>1</v>
      </c>
      <c r="U103" s="352">
        <f t="shared" si="30"/>
        <v>1</v>
      </c>
      <c r="V103" s="353">
        <f t="shared" si="27"/>
        <v>0</v>
      </c>
      <c r="W103" s="354"/>
    </row>
    <row r="104" ht="13.05" spans="1:23">
      <c r="A104" s="336" t="s">
        <v>141</v>
      </c>
      <c r="B104" s="330"/>
      <c r="C104" s="337"/>
      <c r="D104" s="289" t="str">
        <f t="shared" si="34"/>
        <v/>
      </c>
      <c r="E104" s="338" t="str">
        <f t="shared" si="35"/>
        <v/>
      </c>
      <c r="F104" s="339" t="str">
        <f t="shared" si="31"/>
        <v/>
      </c>
      <c r="G104" s="289" t="str">
        <f t="shared" si="36"/>
        <v/>
      </c>
      <c r="H104" s="335" t="str">
        <f t="shared" si="37"/>
        <v/>
      </c>
      <c r="I104" s="338" t="str">
        <f t="shared" si="38"/>
        <v/>
      </c>
      <c r="J104" s="335" t="str">
        <f t="shared" si="39"/>
        <v/>
      </c>
      <c r="K104" s="24"/>
      <c r="L104" s="24"/>
      <c r="Q104" s="351"/>
      <c r="R104" s="352">
        <f t="shared" si="32"/>
        <v>-1000000</v>
      </c>
      <c r="S104" s="352">
        <f t="shared" si="33"/>
        <v>1000000</v>
      </c>
      <c r="T104" s="352">
        <f t="shared" si="26"/>
        <v>0</v>
      </c>
      <c r="U104" s="352">
        <f t="shared" si="30"/>
        <v>0</v>
      </c>
      <c r="V104" s="353" t="e">
        <f t="shared" si="27"/>
        <v>#N/A</v>
      </c>
      <c r="W104" s="354"/>
    </row>
    <row r="105" ht="13.05" spans="1:23">
      <c r="A105" s="336" t="s">
        <v>142</v>
      </c>
      <c r="B105" s="330">
        <v>0.1</v>
      </c>
      <c r="C105" s="337" t="s">
        <v>143</v>
      </c>
      <c r="D105" s="289">
        <f t="shared" si="34"/>
        <v>0.1</v>
      </c>
      <c r="E105" s="338">
        <f t="shared" si="35"/>
        <v>0.1</v>
      </c>
      <c r="F105" s="339">
        <f t="shared" si="31"/>
        <v>0.1</v>
      </c>
      <c r="G105" s="289">
        <f t="shared" si="36"/>
        <v>0</v>
      </c>
      <c r="H105" s="335" t="str">
        <f t="shared" si="37"/>
        <v>Pass</v>
      </c>
      <c r="I105" s="338">
        <f t="shared" si="38"/>
        <v>2.8</v>
      </c>
      <c r="J105" s="335" t="str">
        <f t="shared" si="39"/>
        <v>Pass</v>
      </c>
      <c r="K105" s="24"/>
      <c r="L105" s="24"/>
      <c r="Q105" s="351"/>
      <c r="R105" s="352">
        <f t="shared" si="32"/>
        <v>-1000000</v>
      </c>
      <c r="S105" s="352">
        <f t="shared" si="33"/>
        <v>1000000</v>
      </c>
      <c r="T105" s="352">
        <f t="shared" ref="T105:T128" si="40">IF(F105="",0,VLOOKUP(A105,Test_Limits,7,FALSE))</f>
        <v>1</v>
      </c>
      <c r="U105" s="352">
        <f t="shared" si="30"/>
        <v>1</v>
      </c>
      <c r="V105" s="353">
        <f t="shared" ref="V105:V128" si="41">VLOOKUP(A105,Test_Limits,6,FALSE)</f>
        <v>1</v>
      </c>
      <c r="W105" s="354"/>
    </row>
    <row r="106" ht="13.05" spans="1:23">
      <c r="A106" s="336" t="s">
        <v>144</v>
      </c>
      <c r="B106" s="330">
        <v>1359.4</v>
      </c>
      <c r="C106" s="337" t="s">
        <v>60</v>
      </c>
      <c r="D106" s="289">
        <f t="shared" si="34"/>
        <v>1359.4</v>
      </c>
      <c r="E106" s="338">
        <f t="shared" si="35"/>
        <v>1359.4</v>
      </c>
      <c r="F106" s="339">
        <f t="shared" si="31"/>
        <v>1359</v>
      </c>
      <c r="G106" s="289">
        <f t="shared" si="36"/>
        <v>750</v>
      </c>
      <c r="H106" s="335" t="str">
        <f t="shared" si="37"/>
        <v>Pass</v>
      </c>
      <c r="I106" s="338">
        <f t="shared" si="38"/>
        <v>10000</v>
      </c>
      <c r="J106" s="335" t="str">
        <f t="shared" si="39"/>
        <v>Pass</v>
      </c>
      <c r="K106" s="24"/>
      <c r="L106" s="24"/>
      <c r="Q106" s="351"/>
      <c r="R106" s="352">
        <f t="shared" si="32"/>
        <v>-1000000</v>
      </c>
      <c r="S106" s="352">
        <f t="shared" si="33"/>
        <v>1000000</v>
      </c>
      <c r="T106" s="352">
        <f t="shared" si="40"/>
        <v>0</v>
      </c>
      <c r="U106" s="352">
        <f t="shared" si="30"/>
        <v>0</v>
      </c>
      <c r="V106" s="353">
        <f t="shared" si="41"/>
        <v>0</v>
      </c>
      <c r="W106" s="354"/>
    </row>
    <row r="107" ht="13.05" spans="1:23">
      <c r="A107" s="336" t="s">
        <v>145</v>
      </c>
      <c r="B107" s="330">
        <v>0.6</v>
      </c>
      <c r="C107" s="337" t="s">
        <v>143</v>
      </c>
      <c r="D107" s="289">
        <f t="shared" si="34"/>
        <v>0.6</v>
      </c>
      <c r="E107" s="338">
        <f t="shared" si="35"/>
        <v>0.6</v>
      </c>
      <c r="F107" s="339">
        <f t="shared" si="31"/>
        <v>0.6</v>
      </c>
      <c r="G107" s="289">
        <f t="shared" si="36"/>
        <v>0</v>
      </c>
      <c r="H107" s="335" t="str">
        <f t="shared" si="37"/>
        <v>Pass</v>
      </c>
      <c r="I107" s="338">
        <f t="shared" si="38"/>
        <v>20.5</v>
      </c>
      <c r="J107" s="335" t="str">
        <f t="shared" si="39"/>
        <v>Pass</v>
      </c>
      <c r="K107" s="24"/>
      <c r="L107" s="24"/>
      <c r="Q107" s="351"/>
      <c r="R107" s="352">
        <f t="shared" si="32"/>
        <v>-1000000</v>
      </c>
      <c r="S107" s="352">
        <f t="shared" si="33"/>
        <v>1000000</v>
      </c>
      <c r="T107" s="352">
        <f t="shared" si="40"/>
        <v>1</v>
      </c>
      <c r="U107" s="352">
        <f t="shared" si="30"/>
        <v>1</v>
      </c>
      <c r="V107" s="353">
        <f t="shared" si="41"/>
        <v>1</v>
      </c>
      <c r="W107" s="354"/>
    </row>
    <row r="108" ht="12.6" spans="1:23">
      <c r="A108" s="355" t="s">
        <v>146</v>
      </c>
      <c r="B108" s="356">
        <v>3202</v>
      </c>
      <c r="C108" s="337"/>
      <c r="D108" s="289" t="str">
        <f t="shared" si="34"/>
        <v/>
      </c>
      <c r="E108" s="338" t="str">
        <f t="shared" si="35"/>
        <v/>
      </c>
      <c r="F108" s="339" t="str">
        <f t="shared" si="31"/>
        <v/>
      </c>
      <c r="G108" s="289" t="str">
        <f t="shared" si="36"/>
        <v/>
      </c>
      <c r="H108" s="335" t="str">
        <f t="shared" si="37"/>
        <v/>
      </c>
      <c r="I108" s="338" t="str">
        <f t="shared" si="38"/>
        <v/>
      </c>
      <c r="J108" s="335" t="str">
        <f t="shared" si="39"/>
        <v/>
      </c>
      <c r="K108" s="24"/>
      <c r="L108" s="24"/>
      <c r="Q108" s="351"/>
      <c r="R108" s="352">
        <f t="shared" si="32"/>
        <v>-1000000</v>
      </c>
      <c r="S108" s="352">
        <f t="shared" si="33"/>
        <v>1000000</v>
      </c>
      <c r="T108" s="352">
        <f t="shared" si="40"/>
        <v>0</v>
      </c>
      <c r="U108" s="352">
        <f t="shared" si="30"/>
        <v>0</v>
      </c>
      <c r="V108" s="353" t="e">
        <f t="shared" si="41"/>
        <v>#N/A</v>
      </c>
      <c r="W108" s="354"/>
    </row>
    <row r="109" ht="12.6" spans="1:23">
      <c r="A109" s="355" t="s">
        <v>147</v>
      </c>
      <c r="B109" s="356">
        <v>9</v>
      </c>
      <c r="C109" s="337"/>
      <c r="D109" s="289" t="str">
        <f t="shared" si="34"/>
        <v/>
      </c>
      <c r="E109" s="338" t="str">
        <f t="shared" si="35"/>
        <v/>
      </c>
      <c r="F109" s="339" t="str">
        <f t="shared" si="31"/>
        <v/>
      </c>
      <c r="G109" s="289" t="str">
        <f t="shared" si="36"/>
        <v/>
      </c>
      <c r="H109" s="335" t="str">
        <f t="shared" si="37"/>
        <v/>
      </c>
      <c r="I109" s="338" t="str">
        <f t="shared" si="38"/>
        <v/>
      </c>
      <c r="J109" s="335" t="str">
        <f t="shared" si="39"/>
        <v/>
      </c>
      <c r="K109" s="24"/>
      <c r="L109" s="24"/>
      <c r="Q109" s="351"/>
      <c r="R109" s="352">
        <f t="shared" si="32"/>
        <v>-1000000</v>
      </c>
      <c r="S109" s="352">
        <f t="shared" si="33"/>
        <v>1000000</v>
      </c>
      <c r="T109" s="352">
        <f t="shared" si="40"/>
        <v>0</v>
      </c>
      <c r="U109" s="352">
        <f t="shared" si="30"/>
        <v>0</v>
      </c>
      <c r="V109" s="353" t="e">
        <f t="shared" si="41"/>
        <v>#N/A</v>
      </c>
      <c r="W109" s="354"/>
    </row>
    <row r="110" ht="12.6" spans="1:23">
      <c r="A110" s="355" t="s">
        <v>148</v>
      </c>
      <c r="B110" s="357">
        <v>4.17</v>
      </c>
      <c r="C110" s="337"/>
      <c r="D110" s="289" t="str">
        <f t="shared" si="34"/>
        <v/>
      </c>
      <c r="E110" s="338" t="str">
        <f t="shared" si="35"/>
        <v/>
      </c>
      <c r="F110" s="339" t="str">
        <f t="shared" si="31"/>
        <v/>
      </c>
      <c r="G110" s="289" t="str">
        <f t="shared" si="36"/>
        <v/>
      </c>
      <c r="H110" s="335" t="str">
        <f t="shared" si="37"/>
        <v/>
      </c>
      <c r="I110" s="338" t="str">
        <f t="shared" si="38"/>
        <v/>
      </c>
      <c r="J110" s="335" t="str">
        <f t="shared" si="39"/>
        <v/>
      </c>
      <c r="K110" s="24"/>
      <c r="L110" s="24"/>
      <c r="Q110" s="351"/>
      <c r="R110" s="352">
        <f t="shared" si="32"/>
        <v>-1000000</v>
      </c>
      <c r="S110" s="352">
        <f t="shared" si="33"/>
        <v>1000000</v>
      </c>
      <c r="T110" s="352">
        <f t="shared" si="40"/>
        <v>0</v>
      </c>
      <c r="U110" s="352">
        <f t="shared" si="30"/>
        <v>0</v>
      </c>
      <c r="V110" s="353" t="e">
        <f t="shared" si="41"/>
        <v>#N/A</v>
      </c>
      <c r="W110" s="354"/>
    </row>
    <row r="111" ht="13.05" spans="1:23">
      <c r="A111" s="336"/>
      <c r="B111" s="330"/>
      <c r="C111" s="337"/>
      <c r="D111" s="289" t="str">
        <f t="shared" si="34"/>
        <v/>
      </c>
      <c r="E111" s="338" t="str">
        <f t="shared" si="35"/>
        <v/>
      </c>
      <c r="F111" s="339" t="str">
        <f t="shared" si="31"/>
        <v/>
      </c>
      <c r="G111" s="289" t="str">
        <f t="shared" si="36"/>
        <v/>
      </c>
      <c r="H111" s="335" t="str">
        <f t="shared" si="37"/>
        <v/>
      </c>
      <c r="I111" s="338" t="str">
        <f t="shared" si="38"/>
        <v/>
      </c>
      <c r="J111" s="335" t="str">
        <f t="shared" si="39"/>
        <v/>
      </c>
      <c r="K111" s="24"/>
      <c r="L111" s="24"/>
      <c r="Q111" s="351"/>
      <c r="R111" s="352">
        <f t="shared" si="32"/>
        <v>-1000000</v>
      </c>
      <c r="S111" s="352">
        <f t="shared" si="33"/>
        <v>1000000</v>
      </c>
      <c r="T111" s="352">
        <f t="shared" si="40"/>
        <v>0</v>
      </c>
      <c r="U111" s="352">
        <f t="shared" si="30"/>
        <v>0</v>
      </c>
      <c r="V111" s="353" t="e">
        <f t="shared" si="41"/>
        <v>#N/A</v>
      </c>
      <c r="W111" s="354"/>
    </row>
    <row r="112" ht="13.05" spans="1:23">
      <c r="A112" s="336"/>
      <c r="B112" s="330"/>
      <c r="C112" s="337"/>
      <c r="D112" s="289" t="str">
        <f t="shared" si="34"/>
        <v/>
      </c>
      <c r="E112" s="338" t="str">
        <f t="shared" si="35"/>
        <v/>
      </c>
      <c r="F112" s="339" t="str">
        <f t="shared" si="31"/>
        <v/>
      </c>
      <c r="G112" s="289" t="str">
        <f t="shared" si="36"/>
        <v/>
      </c>
      <c r="H112" s="335" t="str">
        <f t="shared" si="37"/>
        <v/>
      </c>
      <c r="I112" s="338" t="str">
        <f t="shared" si="38"/>
        <v/>
      </c>
      <c r="J112" s="335" t="str">
        <f t="shared" si="39"/>
        <v/>
      </c>
      <c r="K112" s="24"/>
      <c r="L112" s="24"/>
      <c r="Q112" s="351"/>
      <c r="R112" s="352">
        <f t="shared" si="32"/>
        <v>-1000000</v>
      </c>
      <c r="S112" s="352">
        <f t="shared" si="33"/>
        <v>1000000</v>
      </c>
      <c r="T112" s="352">
        <f t="shared" si="40"/>
        <v>0</v>
      </c>
      <c r="U112" s="352">
        <f t="shared" si="30"/>
        <v>0</v>
      </c>
      <c r="V112" s="353" t="e">
        <f t="shared" si="41"/>
        <v>#N/A</v>
      </c>
      <c r="W112" s="354"/>
    </row>
    <row r="113" ht="13.05" spans="1:23">
      <c r="A113" s="336"/>
      <c r="B113" s="330"/>
      <c r="C113" s="337"/>
      <c r="D113" s="289" t="str">
        <f t="shared" si="34"/>
        <v/>
      </c>
      <c r="E113" s="338" t="str">
        <f t="shared" si="35"/>
        <v/>
      </c>
      <c r="F113" s="339" t="str">
        <f t="shared" si="31"/>
        <v/>
      </c>
      <c r="G113" s="289" t="str">
        <f t="shared" si="36"/>
        <v/>
      </c>
      <c r="H113" s="335" t="str">
        <f t="shared" si="37"/>
        <v/>
      </c>
      <c r="I113" s="338" t="str">
        <f t="shared" si="38"/>
        <v/>
      </c>
      <c r="J113" s="335" t="str">
        <f t="shared" si="39"/>
        <v/>
      </c>
      <c r="K113" s="24"/>
      <c r="L113" s="24"/>
      <c r="Q113" s="351"/>
      <c r="R113" s="352">
        <f t="shared" si="32"/>
        <v>-1000000</v>
      </c>
      <c r="S113" s="352">
        <f t="shared" si="33"/>
        <v>1000000</v>
      </c>
      <c r="T113" s="352">
        <f t="shared" si="40"/>
        <v>0</v>
      </c>
      <c r="U113" s="352">
        <f t="shared" si="30"/>
        <v>0</v>
      </c>
      <c r="V113" s="353" t="e">
        <f t="shared" si="41"/>
        <v>#N/A</v>
      </c>
      <c r="W113" s="354"/>
    </row>
    <row r="114" ht="13.05" spans="1:23">
      <c r="A114" s="336"/>
      <c r="B114" s="330"/>
      <c r="C114" s="337"/>
      <c r="D114" s="289" t="str">
        <f t="shared" si="34"/>
        <v/>
      </c>
      <c r="E114" s="338" t="str">
        <f t="shared" si="35"/>
        <v/>
      </c>
      <c r="F114" s="339" t="str">
        <f t="shared" si="31"/>
        <v/>
      </c>
      <c r="G114" s="289" t="str">
        <f t="shared" si="36"/>
        <v/>
      </c>
      <c r="H114" s="335" t="str">
        <f t="shared" si="37"/>
        <v/>
      </c>
      <c r="I114" s="338" t="str">
        <f t="shared" si="38"/>
        <v/>
      </c>
      <c r="J114" s="335" t="str">
        <f t="shared" si="39"/>
        <v/>
      </c>
      <c r="K114" s="24"/>
      <c r="L114" s="24"/>
      <c r="Q114" s="351"/>
      <c r="R114" s="352">
        <f t="shared" si="32"/>
        <v>-1000000</v>
      </c>
      <c r="S114" s="352">
        <f t="shared" si="33"/>
        <v>1000000</v>
      </c>
      <c r="T114" s="352">
        <f t="shared" si="40"/>
        <v>0</v>
      </c>
      <c r="U114" s="352">
        <f t="shared" si="30"/>
        <v>0</v>
      </c>
      <c r="V114" s="353" t="e">
        <f t="shared" si="41"/>
        <v>#N/A</v>
      </c>
      <c r="W114" s="354"/>
    </row>
    <row r="115" ht="13.05" spans="1:23">
      <c r="A115" s="336"/>
      <c r="B115" s="330"/>
      <c r="C115" s="337"/>
      <c r="D115" s="289" t="str">
        <f t="shared" si="34"/>
        <v/>
      </c>
      <c r="E115" s="338" t="str">
        <f t="shared" si="35"/>
        <v/>
      </c>
      <c r="F115" s="339" t="str">
        <f t="shared" si="31"/>
        <v/>
      </c>
      <c r="G115" s="289" t="str">
        <f t="shared" si="36"/>
        <v/>
      </c>
      <c r="H115" s="335" t="str">
        <f t="shared" si="37"/>
        <v/>
      </c>
      <c r="I115" s="338" t="str">
        <f t="shared" si="38"/>
        <v/>
      </c>
      <c r="J115" s="335" t="str">
        <f t="shared" si="39"/>
        <v/>
      </c>
      <c r="K115" s="24"/>
      <c r="L115" s="24"/>
      <c r="Q115" s="351"/>
      <c r="R115" s="352">
        <f t="shared" si="32"/>
        <v>-1000000</v>
      </c>
      <c r="S115" s="352">
        <f t="shared" si="33"/>
        <v>1000000</v>
      </c>
      <c r="T115" s="352">
        <f t="shared" si="40"/>
        <v>0</v>
      </c>
      <c r="U115" s="352">
        <f t="shared" si="30"/>
        <v>0</v>
      </c>
      <c r="V115" s="353" t="e">
        <f t="shared" si="41"/>
        <v>#N/A</v>
      </c>
      <c r="W115" s="354"/>
    </row>
    <row r="116" ht="13.05" spans="1:23">
      <c r="A116" s="336"/>
      <c r="B116" s="330"/>
      <c r="C116" s="337"/>
      <c r="D116" s="289" t="str">
        <f t="shared" si="34"/>
        <v/>
      </c>
      <c r="E116" s="338" t="str">
        <f t="shared" si="35"/>
        <v/>
      </c>
      <c r="F116" s="339" t="str">
        <f t="shared" si="31"/>
        <v/>
      </c>
      <c r="G116" s="289" t="str">
        <f t="shared" si="36"/>
        <v/>
      </c>
      <c r="H116" s="335" t="str">
        <f t="shared" si="37"/>
        <v/>
      </c>
      <c r="I116" s="338" t="str">
        <f t="shared" si="38"/>
        <v/>
      </c>
      <c r="J116" s="335" t="str">
        <f t="shared" si="39"/>
        <v/>
      </c>
      <c r="K116" s="24"/>
      <c r="L116" s="24"/>
      <c r="Q116" s="351"/>
      <c r="R116" s="352">
        <f t="shared" si="32"/>
        <v>-1000000</v>
      </c>
      <c r="S116" s="352">
        <f t="shared" si="33"/>
        <v>1000000</v>
      </c>
      <c r="T116" s="352">
        <f t="shared" si="40"/>
        <v>0</v>
      </c>
      <c r="U116" s="352">
        <f t="shared" si="30"/>
        <v>0</v>
      </c>
      <c r="V116" s="353" t="e">
        <f t="shared" si="41"/>
        <v>#N/A</v>
      </c>
      <c r="W116" s="354"/>
    </row>
    <row r="117" ht="13.05" spans="1:23">
      <c r="A117" s="336"/>
      <c r="B117" s="330"/>
      <c r="C117" s="337"/>
      <c r="D117" s="289" t="str">
        <f t="shared" si="34"/>
        <v/>
      </c>
      <c r="E117" s="338" t="str">
        <f t="shared" si="35"/>
        <v/>
      </c>
      <c r="F117" s="339" t="str">
        <f t="shared" si="31"/>
        <v/>
      </c>
      <c r="G117" s="289" t="str">
        <f t="shared" si="36"/>
        <v/>
      </c>
      <c r="H117" s="335" t="str">
        <f t="shared" si="37"/>
        <v/>
      </c>
      <c r="I117" s="338" t="str">
        <f t="shared" si="38"/>
        <v/>
      </c>
      <c r="J117" s="335" t="str">
        <f t="shared" si="39"/>
        <v/>
      </c>
      <c r="K117" s="24"/>
      <c r="L117" s="24"/>
      <c r="Q117" s="351"/>
      <c r="R117" s="352">
        <f t="shared" si="32"/>
        <v>-1000000</v>
      </c>
      <c r="S117" s="352">
        <f t="shared" si="33"/>
        <v>1000000</v>
      </c>
      <c r="T117" s="352">
        <f t="shared" si="40"/>
        <v>0</v>
      </c>
      <c r="U117" s="352">
        <f t="shared" si="30"/>
        <v>0</v>
      </c>
      <c r="V117" s="353" t="e">
        <f t="shared" si="41"/>
        <v>#N/A</v>
      </c>
      <c r="W117" s="354"/>
    </row>
    <row r="118" ht="13.05" spans="1:23">
      <c r="A118" s="336"/>
      <c r="B118" s="330"/>
      <c r="C118" s="337"/>
      <c r="D118" s="289" t="str">
        <f t="shared" si="34"/>
        <v/>
      </c>
      <c r="E118" s="338" t="str">
        <f t="shared" si="35"/>
        <v/>
      </c>
      <c r="F118" s="339" t="str">
        <f t="shared" si="31"/>
        <v/>
      </c>
      <c r="G118" s="289" t="str">
        <f t="shared" si="36"/>
        <v/>
      </c>
      <c r="H118" s="335" t="str">
        <f t="shared" si="37"/>
        <v/>
      </c>
      <c r="I118" s="338" t="str">
        <f t="shared" si="38"/>
        <v/>
      </c>
      <c r="J118" s="335" t="str">
        <f t="shared" si="39"/>
        <v/>
      </c>
      <c r="K118" s="24"/>
      <c r="L118" s="24"/>
      <c r="Q118" s="351"/>
      <c r="R118" s="352">
        <f t="shared" si="32"/>
        <v>-1000000</v>
      </c>
      <c r="S118" s="352">
        <f t="shared" si="33"/>
        <v>1000000</v>
      </c>
      <c r="T118" s="352">
        <f t="shared" si="40"/>
        <v>0</v>
      </c>
      <c r="U118" s="352">
        <f t="shared" si="30"/>
        <v>0</v>
      </c>
      <c r="V118" s="353" t="e">
        <f t="shared" si="41"/>
        <v>#N/A</v>
      </c>
      <c r="W118" s="354"/>
    </row>
    <row r="119" ht="13.05" spans="1:23">
      <c r="A119" s="336"/>
      <c r="B119" s="330"/>
      <c r="C119" s="337"/>
      <c r="D119" s="289" t="str">
        <f t="shared" si="34"/>
        <v/>
      </c>
      <c r="E119" s="338" t="str">
        <f t="shared" si="35"/>
        <v/>
      </c>
      <c r="F119" s="339" t="str">
        <f t="shared" si="31"/>
        <v/>
      </c>
      <c r="G119" s="289" t="str">
        <f t="shared" ref="G119:G121" si="42">IF(F119="","",IF(VLOOKUP(A119,Test_Limits,2,FALSE)="","",VLOOKUP(A119,Test_Limits,2,FALSE)))</f>
        <v/>
      </c>
      <c r="H119" s="335" t="str">
        <f t="shared" ref="H119:H121" si="43">IF(G119="","",IF(D119&lt;G119,IF(VLOOKUP(A119,Test_Limits,5,FALSE)="PF","Fail","Info"),"Pass"))</f>
        <v/>
      </c>
      <c r="I119" s="338" t="str">
        <f t="shared" ref="I119:I121" si="44">IF(F119="","",IF(VLOOKUP(A119,Test_Limits,3,FALSE)="","",VLOOKUP(A119,Test_Limits,3,FALSE)))</f>
        <v/>
      </c>
      <c r="J119" s="335" t="str">
        <f t="shared" ref="J119:J121" si="45">IF(I119="","",IF(E119&gt;I119,IF(VLOOKUP(A119,Test_Limits,5,FALSE)="PF","Fail","Info"),"Pass"))</f>
        <v/>
      </c>
      <c r="K119" s="24"/>
      <c r="L119" s="24"/>
      <c r="Q119" s="351"/>
      <c r="R119" s="352">
        <f t="shared" ref="R119:R121" si="46">IF(H119="Info",G119,IF(J119="Info",G119,-1000000))</f>
        <v>-1000000</v>
      </c>
      <c r="S119" s="352">
        <f t="shared" ref="S119:S121" si="47">IF(H119="Info",I119,IF(J119="Info",I119,1000000))</f>
        <v>1000000</v>
      </c>
      <c r="T119" s="352">
        <f t="shared" ref="T119:T121" si="48">IF(F119="",0,VLOOKUP(A119,Test_Limits,7,FALSE))</f>
        <v>0</v>
      </c>
      <c r="U119" s="352">
        <f t="shared" ref="U119:U121" si="49">IF(H119="Pass",IF(J119="Pass",T119,0),0)</f>
        <v>0</v>
      </c>
      <c r="V119" s="353" t="e">
        <f t="shared" ref="V119:V121" si="50">VLOOKUP(A119,Test_Limits,6,FALSE)</f>
        <v>#N/A</v>
      </c>
      <c r="W119" s="354"/>
    </row>
    <row r="120" ht="13.05" spans="1:23">
      <c r="A120" s="336"/>
      <c r="B120" s="330"/>
      <c r="C120" s="337"/>
      <c r="D120" s="289" t="str">
        <f t="shared" si="34"/>
        <v/>
      </c>
      <c r="E120" s="338" t="str">
        <f t="shared" si="35"/>
        <v/>
      </c>
      <c r="F120" s="339" t="str">
        <f t="shared" si="31"/>
        <v/>
      </c>
      <c r="G120" s="289" t="str">
        <f t="shared" si="42"/>
        <v/>
      </c>
      <c r="H120" s="335" t="str">
        <f t="shared" si="43"/>
        <v/>
      </c>
      <c r="I120" s="338" t="str">
        <f t="shared" si="44"/>
        <v/>
      </c>
      <c r="J120" s="335" t="str">
        <f t="shared" si="45"/>
        <v/>
      </c>
      <c r="K120" s="24"/>
      <c r="L120" s="24"/>
      <c r="Q120" s="351"/>
      <c r="R120" s="352">
        <f t="shared" si="46"/>
        <v>-1000000</v>
      </c>
      <c r="S120" s="352">
        <f t="shared" si="47"/>
        <v>1000000</v>
      </c>
      <c r="T120" s="352">
        <f t="shared" si="48"/>
        <v>0</v>
      </c>
      <c r="U120" s="352">
        <f t="shared" si="49"/>
        <v>0</v>
      </c>
      <c r="V120" s="353" t="e">
        <f t="shared" si="50"/>
        <v>#N/A</v>
      </c>
      <c r="W120" s="354"/>
    </row>
    <row r="121" ht="13.05" spans="1:23">
      <c r="A121" s="336"/>
      <c r="B121" s="330"/>
      <c r="C121" s="337"/>
      <c r="D121" s="289" t="str">
        <f t="shared" si="34"/>
        <v/>
      </c>
      <c r="E121" s="338" t="str">
        <f t="shared" si="35"/>
        <v/>
      </c>
      <c r="F121" s="339" t="str">
        <f t="shared" si="31"/>
        <v/>
      </c>
      <c r="G121" s="289" t="str">
        <f t="shared" si="42"/>
        <v/>
      </c>
      <c r="H121" s="335" t="str">
        <f t="shared" si="43"/>
        <v/>
      </c>
      <c r="I121" s="338" t="str">
        <f t="shared" si="44"/>
        <v/>
      </c>
      <c r="J121" s="335" t="str">
        <f t="shared" si="45"/>
        <v/>
      </c>
      <c r="K121" s="24"/>
      <c r="L121" s="24"/>
      <c r="Q121" s="351"/>
      <c r="R121" s="352">
        <f t="shared" si="46"/>
        <v>-1000000</v>
      </c>
      <c r="S121" s="352">
        <f t="shared" si="47"/>
        <v>1000000</v>
      </c>
      <c r="T121" s="352">
        <f t="shared" si="48"/>
        <v>0</v>
      </c>
      <c r="U121" s="352">
        <f t="shared" si="49"/>
        <v>0</v>
      </c>
      <c r="V121" s="353" t="e">
        <f t="shared" si="50"/>
        <v>#N/A</v>
      </c>
      <c r="W121" s="354"/>
    </row>
    <row r="122" ht="13.05" spans="1:23">
      <c r="A122" s="336"/>
      <c r="B122" s="330"/>
      <c r="C122" s="337"/>
      <c r="D122" s="289" t="str">
        <f t="shared" si="34"/>
        <v/>
      </c>
      <c r="E122" s="338" t="str">
        <f t="shared" si="35"/>
        <v/>
      </c>
      <c r="F122" s="339" t="str">
        <f t="shared" si="31"/>
        <v/>
      </c>
      <c r="G122" s="289" t="str">
        <f t="shared" si="36"/>
        <v/>
      </c>
      <c r="H122" s="335" t="str">
        <f t="shared" si="37"/>
        <v/>
      </c>
      <c r="I122" s="338" t="str">
        <f t="shared" si="38"/>
        <v/>
      </c>
      <c r="J122" s="335" t="str">
        <f t="shared" si="39"/>
        <v/>
      </c>
      <c r="K122" s="24"/>
      <c r="L122" s="24"/>
      <c r="Q122" s="351"/>
      <c r="R122" s="352">
        <f t="shared" si="32"/>
        <v>-1000000</v>
      </c>
      <c r="S122" s="352">
        <f t="shared" si="33"/>
        <v>1000000</v>
      </c>
      <c r="T122" s="352">
        <f t="shared" si="40"/>
        <v>0</v>
      </c>
      <c r="U122" s="352">
        <f t="shared" si="30"/>
        <v>0</v>
      </c>
      <c r="V122" s="353" t="e">
        <f t="shared" si="41"/>
        <v>#N/A</v>
      </c>
      <c r="W122" s="354"/>
    </row>
    <row r="123" ht="13.05" spans="1:23">
      <c r="A123" s="336"/>
      <c r="B123" s="330"/>
      <c r="C123" s="337"/>
      <c r="D123" s="289" t="str">
        <f t="shared" si="34"/>
        <v/>
      </c>
      <c r="E123" s="338" t="str">
        <f t="shared" si="35"/>
        <v/>
      </c>
      <c r="F123" s="339" t="str">
        <f t="shared" si="31"/>
        <v/>
      </c>
      <c r="G123" s="289" t="str">
        <f t="shared" ref="G123:G125" si="51">IF(F123="","",IF(VLOOKUP(A123,Test_Limits,2,FALSE)="","",VLOOKUP(A123,Test_Limits,2,FALSE)))</f>
        <v/>
      </c>
      <c r="H123" s="335" t="str">
        <f t="shared" ref="H123:H125" si="52">IF(G123="","",IF(D123&lt;G123,IF(VLOOKUP(A123,Test_Limits,5,FALSE)="PF","Fail","Info"),"Pass"))</f>
        <v/>
      </c>
      <c r="I123" s="338" t="str">
        <f t="shared" ref="I123:I125" si="53">IF(F123="","",IF(VLOOKUP(A123,Test_Limits,3,FALSE)="","",VLOOKUP(A123,Test_Limits,3,FALSE)))</f>
        <v/>
      </c>
      <c r="J123" s="335" t="str">
        <f t="shared" ref="J123:J125" si="54">IF(I123="","",IF(E123&gt;I123,IF(VLOOKUP(A123,Test_Limits,5,FALSE)="PF","Fail","Info"),"Pass"))</f>
        <v/>
      </c>
      <c r="K123" s="24"/>
      <c r="L123" s="24"/>
      <c r="Q123" s="351"/>
      <c r="R123" s="352">
        <f t="shared" ref="R123:R125" si="55">IF(H123="Info",G123,IF(J123="Info",G123,-1000000))</f>
        <v>-1000000</v>
      </c>
      <c r="S123" s="352">
        <f t="shared" ref="S123:S125" si="56">IF(H123="Info",I123,IF(J123="Info",I123,1000000))</f>
        <v>1000000</v>
      </c>
      <c r="T123" s="352">
        <f t="shared" ref="T123:T125" si="57">IF(F123="",0,VLOOKUP(A123,Test_Limits,7,FALSE))</f>
        <v>0</v>
      </c>
      <c r="U123" s="352">
        <f t="shared" ref="U123:U125" si="58">IF(H123="Pass",IF(J123="Pass",T123,0),0)</f>
        <v>0</v>
      </c>
      <c r="V123" s="353" t="e">
        <f t="shared" ref="V123:V125" si="59">VLOOKUP(A123,Test_Limits,6,FALSE)</f>
        <v>#N/A</v>
      </c>
      <c r="W123" s="354"/>
    </row>
    <row r="124" ht="13.05" spans="1:23">
      <c r="A124" s="336"/>
      <c r="B124" s="330"/>
      <c r="C124" s="337"/>
      <c r="D124" s="289" t="str">
        <f t="shared" si="34"/>
        <v/>
      </c>
      <c r="E124" s="338" t="str">
        <f t="shared" si="35"/>
        <v/>
      </c>
      <c r="F124" s="339" t="str">
        <f t="shared" si="31"/>
        <v/>
      </c>
      <c r="G124" s="289" t="str">
        <f t="shared" si="51"/>
        <v/>
      </c>
      <c r="H124" s="335" t="str">
        <f t="shared" si="52"/>
        <v/>
      </c>
      <c r="I124" s="338" t="str">
        <f t="shared" si="53"/>
        <v/>
      </c>
      <c r="J124" s="335" t="str">
        <f t="shared" si="54"/>
        <v/>
      </c>
      <c r="K124" s="24"/>
      <c r="L124" s="24"/>
      <c r="Q124" s="351"/>
      <c r="R124" s="352">
        <f t="shared" si="55"/>
        <v>-1000000</v>
      </c>
      <c r="S124" s="352">
        <f t="shared" si="56"/>
        <v>1000000</v>
      </c>
      <c r="T124" s="352">
        <f t="shared" si="57"/>
        <v>0</v>
      </c>
      <c r="U124" s="352">
        <f t="shared" si="58"/>
        <v>0</v>
      </c>
      <c r="V124" s="353" t="e">
        <f t="shared" si="59"/>
        <v>#N/A</v>
      </c>
      <c r="W124" s="354"/>
    </row>
    <row r="125" ht="13.05" spans="1:23">
      <c r="A125" s="336"/>
      <c r="B125" s="330"/>
      <c r="C125" s="337"/>
      <c r="D125" s="289" t="str">
        <f t="shared" si="34"/>
        <v/>
      </c>
      <c r="E125" s="338" t="str">
        <f t="shared" si="35"/>
        <v/>
      </c>
      <c r="F125" s="339" t="str">
        <f t="shared" si="31"/>
        <v/>
      </c>
      <c r="G125" s="289" t="str">
        <f t="shared" si="51"/>
        <v/>
      </c>
      <c r="H125" s="335" t="str">
        <f t="shared" si="52"/>
        <v/>
      </c>
      <c r="I125" s="338" t="str">
        <f t="shared" si="53"/>
        <v/>
      </c>
      <c r="J125" s="335" t="str">
        <f t="shared" si="54"/>
        <v/>
      </c>
      <c r="K125" s="24"/>
      <c r="L125" s="24"/>
      <c r="Q125" s="351"/>
      <c r="R125" s="352">
        <f t="shared" si="55"/>
        <v>-1000000</v>
      </c>
      <c r="S125" s="352">
        <f t="shared" si="56"/>
        <v>1000000</v>
      </c>
      <c r="T125" s="352">
        <f t="shared" si="57"/>
        <v>0</v>
      </c>
      <c r="U125" s="352">
        <f t="shared" si="58"/>
        <v>0</v>
      </c>
      <c r="V125" s="353" t="e">
        <f t="shared" si="59"/>
        <v>#N/A</v>
      </c>
      <c r="W125" s="354"/>
    </row>
    <row r="126" ht="13.05" spans="1:23">
      <c r="A126" s="336"/>
      <c r="B126" s="330"/>
      <c r="C126" s="337"/>
      <c r="D126" s="289"/>
      <c r="E126" s="338"/>
      <c r="F126" s="339"/>
      <c r="G126" s="289"/>
      <c r="H126" s="335"/>
      <c r="I126" s="338"/>
      <c r="J126" s="335"/>
      <c r="K126" s="24"/>
      <c r="L126" s="24"/>
      <c r="Q126" s="351"/>
      <c r="R126" s="352">
        <f t="shared" ref="R126" si="60">IF(H126="Info",G126,IF(J126="Info",G126,-1000000))</f>
        <v>-1000000</v>
      </c>
      <c r="S126" s="352">
        <f t="shared" ref="S126" si="61">IF(H126="Info",I126,IF(J126="Info",I126,1000000))</f>
        <v>1000000</v>
      </c>
      <c r="T126" s="352">
        <f t="shared" ref="T126" si="62">IF(F126="",0,VLOOKUP(A126,Test_Limits,7,FALSE))</f>
        <v>0</v>
      </c>
      <c r="U126" s="352">
        <f t="shared" ref="U126" si="63">IF(H126="Pass",IF(J126="Pass",T126,0),0)</f>
        <v>0</v>
      </c>
      <c r="V126" s="353" t="e">
        <f t="shared" ref="V126" si="64">VLOOKUP(A126,Test_Limits,6,FALSE)</f>
        <v>#N/A</v>
      </c>
      <c r="W126" s="354"/>
    </row>
    <row r="127" ht="13.05" spans="1:23">
      <c r="A127" s="336"/>
      <c r="B127" s="330"/>
      <c r="C127" s="337"/>
      <c r="D127" s="289" t="str">
        <f t="shared" si="34"/>
        <v/>
      </c>
      <c r="E127" s="338" t="str">
        <f t="shared" si="35"/>
        <v/>
      </c>
      <c r="F127" s="339" t="str">
        <f t="shared" si="31"/>
        <v/>
      </c>
      <c r="G127" s="289" t="str">
        <f t="shared" si="36"/>
        <v/>
      </c>
      <c r="H127" s="335" t="str">
        <f t="shared" si="37"/>
        <v/>
      </c>
      <c r="I127" s="338" t="str">
        <f t="shared" si="38"/>
        <v/>
      </c>
      <c r="J127" s="335" t="str">
        <f t="shared" si="39"/>
        <v/>
      </c>
      <c r="K127" s="24"/>
      <c r="L127" s="24"/>
      <c r="Q127" s="351"/>
      <c r="R127" s="352">
        <f t="shared" si="32"/>
        <v>-1000000</v>
      </c>
      <c r="S127" s="352">
        <f t="shared" si="33"/>
        <v>1000000</v>
      </c>
      <c r="T127" s="352">
        <f t="shared" si="40"/>
        <v>0</v>
      </c>
      <c r="U127" s="352">
        <f t="shared" si="30"/>
        <v>0</v>
      </c>
      <c r="V127" s="353" t="e">
        <f t="shared" si="41"/>
        <v>#N/A</v>
      </c>
      <c r="W127" s="354"/>
    </row>
    <row r="128" ht="13.05" spans="1:23">
      <c r="A128" s="336"/>
      <c r="B128" s="330"/>
      <c r="C128" s="337"/>
      <c r="D128" s="289" t="str">
        <f t="shared" si="34"/>
        <v/>
      </c>
      <c r="E128" s="338" t="str">
        <f t="shared" si="35"/>
        <v/>
      </c>
      <c r="F128" s="339" t="str">
        <f t="shared" si="31"/>
        <v/>
      </c>
      <c r="G128" s="289" t="str">
        <f t="shared" si="36"/>
        <v/>
      </c>
      <c r="H128" s="335" t="str">
        <f t="shared" si="37"/>
        <v/>
      </c>
      <c r="I128" s="338" t="str">
        <f t="shared" si="38"/>
        <v/>
      </c>
      <c r="J128" s="335" t="str">
        <f t="shared" si="39"/>
        <v/>
      </c>
      <c r="K128" s="24"/>
      <c r="L128" s="24"/>
      <c r="Q128" s="351"/>
      <c r="R128" s="352">
        <f t="shared" si="32"/>
        <v>-1000000</v>
      </c>
      <c r="S128" s="352">
        <f t="shared" si="33"/>
        <v>1000000</v>
      </c>
      <c r="T128" s="352">
        <f t="shared" si="40"/>
        <v>0</v>
      </c>
      <c r="U128" s="352">
        <f t="shared" si="30"/>
        <v>0</v>
      </c>
      <c r="V128" s="353" t="e">
        <f t="shared" si="41"/>
        <v>#N/A</v>
      </c>
      <c r="W128" s="354"/>
    </row>
    <row r="129" ht="13.05" spans="1:23">
      <c r="A129" s="336"/>
      <c r="B129" s="330"/>
      <c r="C129" s="337"/>
      <c r="D129" s="289"/>
      <c r="E129" s="338"/>
      <c r="F129" s="339"/>
      <c r="G129" s="289"/>
      <c r="H129" s="335"/>
      <c r="I129" s="338"/>
      <c r="J129" s="335"/>
      <c r="K129" s="24"/>
      <c r="L129" s="24"/>
      <c r="Q129" s="351"/>
      <c r="R129" s="352">
        <f t="shared" ref="R129" si="65">IF(H129="Info",G129,IF(J129="Info",G129,-1000000))</f>
        <v>-1000000</v>
      </c>
      <c r="S129" s="352">
        <f t="shared" ref="S129" si="66">IF(H129="Info",I129,IF(J129="Info",I129,1000000))</f>
        <v>1000000</v>
      </c>
      <c r="T129" s="352">
        <f t="shared" ref="T129" si="67">IF(F129="",0,VLOOKUP(A129,Test_Limits,7,FALSE))</f>
        <v>0</v>
      </c>
      <c r="U129" s="352">
        <f t="shared" ref="U129" si="68">IF(H129="Pass",IF(J129="Pass",T129,0),0)</f>
        <v>0</v>
      </c>
      <c r="V129" s="353" t="e">
        <f t="shared" ref="V129" si="69">VLOOKUP(A129,Test_Limits,6,FALSE)</f>
        <v>#N/A</v>
      </c>
      <c r="W129" s="354"/>
    </row>
    <row r="130" ht="13.05" spans="1:23">
      <c r="A130" s="336"/>
      <c r="B130" s="330"/>
      <c r="C130" s="337"/>
      <c r="D130" s="289" t="str">
        <f>IF(C130="","",MIN(B130:B130))</f>
        <v/>
      </c>
      <c r="E130" s="338" t="str">
        <f>IF(C130="","",MAX(B130:B130))</f>
        <v/>
      </c>
      <c r="F130" s="339" t="str">
        <f t="shared" si="31"/>
        <v/>
      </c>
      <c r="G130" s="289" t="str">
        <f t="shared" ref="G130:G131" si="70">IF(F130="","",IF(VLOOKUP(A130,Test_Limits,2,FALSE)="","",VLOOKUP(A130,Test_Limits,2,FALSE)))</f>
        <v/>
      </c>
      <c r="H130" s="335" t="str">
        <f t="shared" ref="H130:H131" si="71">IF(G130="","",IF(D130&lt;G130,IF(VLOOKUP(A130,Test_Limits,5,FALSE)="PF","Fail","Info"),"Pass"))</f>
        <v/>
      </c>
      <c r="I130" s="338" t="str">
        <f t="shared" ref="I130:I131" si="72">IF(F130="","",IF(VLOOKUP(A130,Test_Limits,3,FALSE)="","",VLOOKUP(A130,Test_Limits,3,FALSE)))</f>
        <v/>
      </c>
      <c r="J130" s="335" t="str">
        <f t="shared" ref="J130:J131" si="73">IF(I130="","",IF(E130&gt;I130,IF(VLOOKUP(A130,Test_Limits,5,FALSE)="PF","Fail","Info"),"Pass"))</f>
        <v/>
      </c>
      <c r="K130" s="24"/>
      <c r="L130" s="24"/>
      <c r="Q130" s="351"/>
      <c r="R130" s="352">
        <f t="shared" ref="R130" si="74">IF(H130="Info",G130,IF(J130="Info",G130,-1000000))</f>
        <v>-1000000</v>
      </c>
      <c r="S130" s="352">
        <f t="shared" ref="S130" si="75">IF(H130="Info",I130,IF(J130="Info",I130,1000000))</f>
        <v>1000000</v>
      </c>
      <c r="T130" s="352">
        <f t="shared" ref="T130" si="76">IF(F130="",0,VLOOKUP(A130,Test_Limits,7,FALSE))</f>
        <v>0</v>
      </c>
      <c r="U130" s="352">
        <f t="shared" ref="U130" si="77">IF(H130="Pass",IF(J130="Pass",T130,0),0)</f>
        <v>0</v>
      </c>
      <c r="V130" s="353" t="e">
        <f t="shared" ref="V130:V131" si="78">VLOOKUP(A130,Test_Limits,6,FALSE)</f>
        <v>#N/A</v>
      </c>
      <c r="W130" s="354"/>
    </row>
    <row r="131" ht="13.05" spans="1:23">
      <c r="A131" s="336"/>
      <c r="B131" s="330"/>
      <c r="C131" s="337"/>
      <c r="D131" s="289" t="str">
        <f>IF(C131="","",MIN(B131:B131))</f>
        <v/>
      </c>
      <c r="E131" s="338" t="str">
        <f>IF(C131="","",MAX(B131:B131))</f>
        <v/>
      </c>
      <c r="F131" s="339" t="str">
        <f t="shared" si="31"/>
        <v/>
      </c>
      <c r="G131" s="289" t="str">
        <f t="shared" si="70"/>
        <v/>
      </c>
      <c r="H131" s="335" t="str">
        <f t="shared" si="71"/>
        <v/>
      </c>
      <c r="I131" s="338" t="str">
        <f t="shared" si="72"/>
        <v/>
      </c>
      <c r="J131" s="335" t="str">
        <f t="shared" si="73"/>
        <v/>
      </c>
      <c r="K131" s="24"/>
      <c r="L131" s="24"/>
      <c r="Q131" s="351"/>
      <c r="R131" s="363" t="s">
        <v>149</v>
      </c>
      <c r="S131" s="352"/>
      <c r="T131" s="352">
        <f>SUM(T10:T130)</f>
        <v>227</v>
      </c>
      <c r="U131" s="352">
        <f>SUM(U10:U130)</f>
        <v>218</v>
      </c>
      <c r="V131" s="353" t="e">
        <f t="shared" si="78"/>
        <v>#N/A</v>
      </c>
      <c r="W131" s="354"/>
    </row>
    <row r="132" ht="13.05" spans="1:23">
      <c r="A132" s="336"/>
      <c r="B132" s="330"/>
      <c r="C132" s="337"/>
      <c r="D132" s="289" t="str">
        <f>IF(C132="","",MIN(B132:B132))</f>
        <v/>
      </c>
      <c r="E132" s="338" t="str">
        <f>IF(C132="","",MAX(B132:B132))</f>
        <v/>
      </c>
      <c r="F132" s="339" t="str">
        <f t="shared" si="31"/>
        <v/>
      </c>
      <c r="G132" s="289" t="str">
        <f t="shared" ref="G132" si="79">IF(F132="","",IF(VLOOKUP(A132,Test_Limits,2,FALSE)="","",VLOOKUP(A132,Test_Limits,2,FALSE)))</f>
        <v/>
      </c>
      <c r="H132" s="335" t="str">
        <f t="shared" ref="H132" si="80">IF(G132="","",IF(D132&lt;G132,IF(VLOOKUP(A132,Test_Limits,5,FALSE)="PF","Fail","Info"),"Pass"))</f>
        <v/>
      </c>
      <c r="I132" s="338" t="str">
        <f t="shared" ref="I132" si="81">IF(F132="","",IF(VLOOKUP(A132,Test_Limits,3,FALSE)="","",VLOOKUP(A132,Test_Limits,3,FALSE)))</f>
        <v/>
      </c>
      <c r="J132" s="335" t="str">
        <f t="shared" ref="J132" si="82">IF(I132="","",IF(E132&gt;I132,IF(VLOOKUP(A132,Test_Limits,5,FALSE)="PF","Fail","Info"),"Pass"))</f>
        <v/>
      </c>
      <c r="K132" s="24"/>
      <c r="L132" s="24"/>
      <c r="Q132" s="351"/>
      <c r="R132" s="363" t="s">
        <v>150</v>
      </c>
      <c r="S132" s="352"/>
      <c r="T132" s="352"/>
      <c r="U132" s="352">
        <f>U131/T131</f>
        <v>0.960352422907489</v>
      </c>
      <c r="V132" s="353"/>
      <c r="W132" s="354"/>
    </row>
    <row r="133" ht="13.05" spans="1:23">
      <c r="A133" s="336"/>
      <c r="B133" s="330"/>
      <c r="C133" s="337"/>
      <c r="D133" s="289" t="str">
        <f t="shared" si="34"/>
        <v/>
      </c>
      <c r="E133" s="338" t="str">
        <f t="shared" si="35"/>
        <v/>
      </c>
      <c r="F133" s="339" t="str">
        <f t="shared" si="31"/>
        <v/>
      </c>
      <c r="G133" s="289" t="str">
        <f t="shared" si="36"/>
        <v/>
      </c>
      <c r="H133" s="335" t="str">
        <f t="shared" si="37"/>
        <v/>
      </c>
      <c r="I133" s="338" t="str">
        <f t="shared" si="38"/>
        <v/>
      </c>
      <c r="J133" s="335" t="str">
        <f t="shared" si="39"/>
        <v/>
      </c>
      <c r="K133" s="24"/>
      <c r="L133" s="24"/>
      <c r="Q133" s="351"/>
      <c r="R133" s="353" t="s">
        <v>151</v>
      </c>
      <c r="S133" s="353"/>
      <c r="T133" s="353"/>
      <c r="U133" s="353">
        <f>COUNTIF(A9:A130,"Test:*")</f>
        <v>19</v>
      </c>
      <c r="V133" s="353"/>
      <c r="W133" s="354"/>
    </row>
    <row r="134" ht="12.6" spans="1:23">
      <c r="A134" s="358"/>
      <c r="B134" s="359"/>
      <c r="C134" s="24"/>
      <c r="D134" s="24"/>
      <c r="E134" s="24"/>
      <c r="F134" s="24"/>
      <c r="G134" s="24"/>
      <c r="H134" s="24"/>
      <c r="I134" s="24"/>
      <c r="J134" s="24"/>
      <c r="K134" s="24"/>
      <c r="L134" s="24"/>
      <c r="Q134" s="351"/>
      <c r="R134" s="353" t="s">
        <v>152</v>
      </c>
      <c r="S134" s="353"/>
      <c r="T134" s="353"/>
      <c r="U134" s="353">
        <f>117-COUNTIF(C9:C130,"")</f>
        <v>75</v>
      </c>
      <c r="V134" s="353"/>
      <c r="W134" s="354"/>
    </row>
    <row r="135" ht="12.6" spans="1:23">
      <c r="A135" s="360" t="str">
        <f>IF(Version&lt;Min_AT_Version,IF(PD_Pwr="Type-2",A139,""),IF(TEXT(MinFwVer,"0.00")&lt;MinReqdFwVer,A143,""))</f>
        <v/>
      </c>
      <c r="B135" s="361" t="str">
        <f>IF(Version&lt;Min_AT_Version,IF(PD_Pwr="Type-2",Version,""),IF(TEXT(MinFwVer,"0.00")&lt;MinReqdFwVer,Version,""))</f>
        <v/>
      </c>
      <c r="C135" s="24"/>
      <c r="D135" s="24"/>
      <c r="E135" s="24"/>
      <c r="F135" s="24"/>
      <c r="G135" s="24"/>
      <c r="H135" s="24"/>
      <c r="I135" s="24"/>
      <c r="J135" s="24"/>
      <c r="K135" s="24"/>
      <c r="L135" s="24"/>
      <c r="Q135" s="351"/>
      <c r="V135" s="354"/>
      <c r="W135" s="354"/>
    </row>
    <row r="136" spans="1:23">
      <c r="A136" s="360" t="str">
        <f>IF(Version&lt;Min_AT_Version,IF(PD_Pwr="Type-2",A140,""),IF(TEXT(MinFwVer,"0.00")&lt;MinReqdFwVer,A144,""))</f>
        <v/>
      </c>
      <c r="B136" s="24"/>
      <c r="C136" s="24"/>
      <c r="D136" s="24"/>
      <c r="E136" s="24"/>
      <c r="F136" s="24"/>
      <c r="G136" s="24"/>
      <c r="H136" s="24"/>
      <c r="I136" s="24"/>
      <c r="J136" s="24"/>
      <c r="K136" s="24"/>
      <c r="L136" s="24"/>
      <c r="Q136" s="351"/>
      <c r="R136" s="354"/>
      <c r="S136" s="354"/>
      <c r="T136" s="354"/>
      <c r="U136" s="354"/>
      <c r="V136" s="354"/>
      <c r="W136" s="354"/>
    </row>
    <row r="137" spans="1:12">
      <c r="A137" s="360" t="str">
        <f>IF(Version&lt;Min_AT_Version,IF(PD_Pwr="Type-2",A141,""),IF(TEXT(MinFwVer,"0.00")&lt;MinReqdFwVer,A145,""))</f>
        <v/>
      </c>
      <c r="B137" s="24"/>
      <c r="C137" s="24"/>
      <c r="D137" s="24"/>
      <c r="E137" s="24"/>
      <c r="F137" s="24"/>
      <c r="G137" s="24"/>
      <c r="H137" s="24"/>
      <c r="I137" s="24"/>
      <c r="J137" s="24"/>
      <c r="K137" s="24"/>
      <c r="L137" s="24"/>
    </row>
    <row r="138" spans="1:1">
      <c r="A138" s="362" t="s">
        <v>153</v>
      </c>
    </row>
    <row r="139" spans="1:2">
      <c r="A139" s="362" t="s">
        <v>154</v>
      </c>
      <c r="B139" s="349"/>
    </row>
    <row r="140" spans="1:2">
      <c r="A140" s="362" t="s">
        <v>155</v>
      </c>
      <c r="B140" s="349"/>
    </row>
    <row r="141" spans="1:2">
      <c r="A141" s="362" t="s">
        <v>156</v>
      </c>
      <c r="B141" s="349"/>
    </row>
    <row r="142" spans="1:2">
      <c r="A142" s="362" t="str">
        <f>"3.1f"</f>
        <v>3.1f</v>
      </c>
      <c r="B142" s="349" t="s">
        <v>157</v>
      </c>
    </row>
    <row r="143" spans="1:2">
      <c r="A143" s="362" t="s">
        <v>154</v>
      </c>
      <c r="B143" s="349"/>
    </row>
    <row r="144" spans="1:2">
      <c r="A144" s="362" t="s">
        <v>158</v>
      </c>
      <c r="B144" s="349"/>
    </row>
    <row r="145" spans="1:2">
      <c r="A145" s="362" t="str">
        <f>"   Version "&amp;UPPER(MinReqdFwVer)&amp;" or newer."</f>
        <v>   Version 3.1F or newer.</v>
      </c>
      <c r="B145" s="349"/>
    </row>
  </sheetData>
  <mergeCells count="9">
    <mergeCell ref="A1:B1"/>
    <mergeCell ref="E3:F3"/>
    <mergeCell ref="G3:H3"/>
    <mergeCell ref="D4:F4"/>
    <mergeCell ref="G4:H4"/>
    <mergeCell ref="I4:J4"/>
    <mergeCell ref="A5:B5"/>
    <mergeCell ref="E5:J5"/>
    <mergeCell ref="B7:C7"/>
  </mergeCells>
  <conditionalFormatting sqref="I4:J4">
    <cfRule type="expression" dxfId="0" priority="7">
      <formula>RIGHT(A7,15)="000.000.000.000"</formula>
    </cfRule>
  </conditionalFormatting>
  <conditionalFormatting sqref="E5:J5">
    <cfRule type="cellIs" dxfId="1" priority="1055" stopIfTrue="1" operator="notEqual">
      <formula>"None"</formula>
    </cfRule>
  </conditionalFormatting>
  <conditionalFormatting sqref="B7:C7">
    <cfRule type="cellIs" dxfId="2" priority="1056" stopIfTrue="1" operator="equal">
      <formula>"PSA-1200 Ports"</formula>
    </cfRule>
  </conditionalFormatting>
  <conditionalFormatting sqref="A9">
    <cfRule type="cellIs" dxfId="3" priority="464" stopIfTrue="1" operator="equal">
      <formula>"Test Port Firmware Version:"</formula>
    </cfRule>
    <cfRule type="cellIs" dxfId="3" priority="465" stopIfTrue="1" operator="equal">
      <formula>"Test Port Hardware Version:"</formula>
    </cfRule>
  </conditionalFormatting>
  <conditionalFormatting sqref="A10">
    <cfRule type="cellIs" dxfId="3" priority="462" stopIfTrue="1" operator="equal">
      <formula>"Test Port Firmware Version:"</formula>
    </cfRule>
    <cfRule type="cellIs" dxfId="3" priority="463" stopIfTrue="1" operator="equal">
      <formula>"Test Port Hardware Version:"</formula>
    </cfRule>
  </conditionalFormatting>
  <conditionalFormatting sqref="H130">
    <cfRule type="cellIs" dxfId="4" priority="17" stopIfTrue="1" operator="equal">
      <formula>"Pass"</formula>
    </cfRule>
    <cfRule type="cellIs" dxfId="5" priority="18" stopIfTrue="1" operator="equal">
      <formula>"Fail"</formula>
    </cfRule>
    <cfRule type="cellIs" dxfId="6" priority="19" stopIfTrue="1" operator="equal">
      <formula>"Info"</formula>
    </cfRule>
  </conditionalFormatting>
  <conditionalFormatting sqref="J130">
    <cfRule type="cellIs" dxfId="4" priority="14" stopIfTrue="1" operator="equal">
      <formula>"Pass"</formula>
    </cfRule>
    <cfRule type="cellIs" dxfId="5" priority="15" stopIfTrue="1" operator="equal">
      <formula>"Fail"</formula>
    </cfRule>
    <cfRule type="cellIs" dxfId="6" priority="16" stopIfTrue="1" operator="equal">
      <formula>"Info"</formula>
    </cfRule>
  </conditionalFormatting>
  <conditionalFormatting sqref="B133">
    <cfRule type="cellIs" dxfId="7" priority="1061" stopIfTrue="1" operator="equal">
      <formula>"See Log!"</formula>
    </cfRule>
    <cfRule type="cellIs" dxfId="8" priority="1062" stopIfTrue="1" operator="notBetween">
      <formula>$R130</formula>
      <formula>$S130</formula>
    </cfRule>
    <cfRule type="cellIs" dxfId="9" priority="1063" stopIfTrue="1" operator="notBetween">
      <formula>$G133</formula>
      <formula>$I133</formula>
    </cfRule>
  </conditionalFormatting>
  <conditionalFormatting sqref="A9:A133">
    <cfRule type="cellIs" dxfId="10" priority="1057" stopIfTrue="1" operator="greaterThan">
      <formula>"""Test:"""</formula>
    </cfRule>
  </conditionalFormatting>
  <conditionalFormatting sqref="A11:A133">
    <cfRule type="cellIs" dxfId="3" priority="460" stopIfTrue="1" operator="equal">
      <formula>"Test Port Model Number:"</formula>
    </cfRule>
    <cfRule type="cellIs" dxfId="3" priority="20" stopIfTrue="1" operator="equal">
      <formula>"Test Port Firmware Version:"</formula>
    </cfRule>
    <cfRule type="cellIs" dxfId="3" priority="21" stopIfTrue="1" operator="equal">
      <formula>"Test Port Hardware Version:"</formula>
    </cfRule>
  </conditionalFormatting>
  <conditionalFormatting sqref="B130:B132">
    <cfRule type="cellIs" dxfId="7" priority="1064" stopIfTrue="1" operator="equal">
      <formula>"See Log!"</formula>
    </cfRule>
    <cfRule type="cellIs" dxfId="8" priority="1065" stopIfTrue="1" operator="notBetween">
      <formula>#REF!</formula>
      <formula>#REF!</formula>
    </cfRule>
    <cfRule type="cellIs" dxfId="9" priority="1066" stopIfTrue="1" operator="notBetween">
      <formula>$G130</formula>
      <formula>$I130</formula>
    </cfRule>
  </conditionalFormatting>
  <conditionalFormatting sqref="H123:H126">
    <cfRule type="cellIs" dxfId="4" priority="4" stopIfTrue="1" operator="equal">
      <formula>"Pass"</formula>
    </cfRule>
    <cfRule type="cellIs" dxfId="5" priority="5" stopIfTrue="1" operator="equal">
      <formula>"Fail"</formula>
    </cfRule>
    <cfRule type="cellIs" dxfId="6" priority="6" stopIfTrue="1" operator="equal">
      <formula>"Info"</formula>
    </cfRule>
  </conditionalFormatting>
  <conditionalFormatting sqref="H131:H132">
    <cfRule type="cellIs" dxfId="4" priority="11" stopIfTrue="1" operator="equal">
      <formula>"Pass"</formula>
    </cfRule>
    <cfRule type="cellIs" dxfId="5" priority="12" stopIfTrue="1" operator="equal">
      <formula>"Fail"</formula>
    </cfRule>
    <cfRule type="cellIs" dxfId="6" priority="13" stopIfTrue="1" operator="equal">
      <formula>"Info"</formula>
    </cfRule>
  </conditionalFormatting>
  <conditionalFormatting sqref="J123:J126">
    <cfRule type="cellIs" dxfId="4" priority="1" stopIfTrue="1" operator="equal">
      <formula>"Pass"</formula>
    </cfRule>
    <cfRule type="cellIs" dxfId="5" priority="2" stopIfTrue="1" operator="equal">
      <formula>"Fail"</formula>
    </cfRule>
    <cfRule type="cellIs" dxfId="6" priority="3" stopIfTrue="1" operator="equal">
      <formula>"Info"</formula>
    </cfRule>
  </conditionalFormatting>
  <conditionalFormatting sqref="J131:J132">
    <cfRule type="cellIs" dxfId="4" priority="8" stopIfTrue="1" operator="equal">
      <formula>"Pass"</formula>
    </cfRule>
    <cfRule type="cellIs" dxfId="5" priority="9" stopIfTrue="1" operator="equal">
      <formula>"Fail"</formula>
    </cfRule>
    <cfRule type="cellIs" dxfId="6" priority="10" stopIfTrue="1" operator="equal">
      <formula>"Info"</formula>
    </cfRule>
  </conditionalFormatting>
  <conditionalFormatting sqref="B9:B107 B111:B129">
    <cfRule type="cellIs" dxfId="7" priority="1049" stopIfTrue="1" operator="equal">
      <formula>"See Log!"</formula>
    </cfRule>
    <cfRule type="expression" dxfId="11" priority="1050" stopIfTrue="1">
      <formula>AND($C9&lt;&gt;"",OR(B9&lt;$R9,B9&gt;$S9))</formula>
    </cfRule>
    <cfRule type="expression" dxfId="12" priority="1051" stopIfTrue="1">
      <formula>AND($C9&lt;&gt;"",OR(B9&lt;$G9,B9&gt;$I9))</formula>
    </cfRule>
  </conditionalFormatting>
  <conditionalFormatting sqref="H133 H9:H122 H127:H129">
    <cfRule type="cellIs" dxfId="4" priority="1043" stopIfTrue="1" operator="equal">
      <formula>"Pass"</formula>
    </cfRule>
    <cfRule type="cellIs" dxfId="5" priority="1044" stopIfTrue="1" operator="equal">
      <formula>"Fail"</formula>
    </cfRule>
    <cfRule type="cellIs" dxfId="6" priority="1045" stopIfTrue="1" operator="equal">
      <formula>"Info"</formula>
    </cfRule>
  </conditionalFormatting>
  <conditionalFormatting sqref="J133 J9:J122 J127:J129">
    <cfRule type="cellIs" dxfId="4" priority="22" stopIfTrue="1" operator="equal">
      <formula>"Pass"</formula>
    </cfRule>
    <cfRule type="cellIs" dxfId="5" priority="23" stopIfTrue="1" operator="equal">
      <formula>"Fail"</formula>
    </cfRule>
    <cfRule type="cellIs" dxfId="6" priority="24" stopIfTrue="1" operator="equal">
      <formula>"Info"</formula>
    </cfRule>
  </conditionalFormatting>
  <pageMargins left="0.75" right="0.75" top="0.5" bottom="0.5" header="0.5" footer="0.5"/>
  <pageSetup paperSize="1" scale="31" orientation="landscape" horizontalDpi="1200" verticalDpi="1200"/>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O188"/>
  <sheetViews>
    <sheetView workbookViewId="0">
      <selection activeCell="A1" sqref="A1"/>
    </sheetView>
  </sheetViews>
  <sheetFormatPr defaultColWidth="9" defaultRowHeight="12.4"/>
  <cols>
    <col min="2" max="2" width="33" customWidth="1"/>
    <col min="3" max="3" width="11.5675675675676" customWidth="1"/>
    <col min="4" max="4" width="11.4324324324324" customWidth="1"/>
    <col min="5" max="6" width="9.56756756756757" customWidth="1"/>
    <col min="7" max="7" width="11.1441441441441" customWidth="1"/>
    <col min="8" max="8" width="9.56756756756757" customWidth="1"/>
    <col min="9" max="9" width="5.28828828828829" customWidth="1"/>
    <col min="11" max="11" width="10.8558558558559" customWidth="1"/>
    <col min="12" max="12" width="9.71171171171171" customWidth="1"/>
    <col min="13" max="13" width="11" customWidth="1"/>
    <col min="14" max="14" width="9.28828828828829" customWidth="1"/>
    <col min="15" max="15" width="4.56756756756757" customWidth="1"/>
    <col min="16" max="16" width="9.14414414414414" customWidth="1"/>
  </cols>
  <sheetData>
    <row r="1" spans="1:15">
      <c r="A1" s="146"/>
      <c r="B1" s="146"/>
      <c r="C1" s="146"/>
      <c r="D1" s="146"/>
      <c r="E1" s="146"/>
      <c r="F1" s="146"/>
      <c r="G1" s="146"/>
      <c r="H1" s="146"/>
      <c r="I1" s="146"/>
      <c r="J1" s="146"/>
      <c r="K1" s="146"/>
      <c r="L1" s="146"/>
      <c r="M1" s="146"/>
      <c r="N1" s="146"/>
      <c r="O1" s="146"/>
    </row>
    <row r="2" ht="13.7" spans="1:15">
      <c r="A2" s="146"/>
      <c r="B2" s="147" t="s">
        <v>159</v>
      </c>
      <c r="C2" s="148" t="s">
        <v>160</v>
      </c>
      <c r="D2" s="149" t="s">
        <v>161</v>
      </c>
      <c r="E2" s="150" t="s">
        <v>162</v>
      </c>
      <c r="F2" s="151" t="s">
        <v>163</v>
      </c>
      <c r="G2" s="152" t="s">
        <v>164</v>
      </c>
      <c r="H2" s="153" t="s">
        <v>165</v>
      </c>
      <c r="I2" s="196" t="s">
        <v>166</v>
      </c>
      <c r="J2" s="197">
        <v>3000</v>
      </c>
      <c r="K2" s="198" t="s">
        <v>167</v>
      </c>
      <c r="L2" s="199" t="s">
        <v>168</v>
      </c>
      <c r="M2" s="200" t="s">
        <v>169</v>
      </c>
      <c r="N2" s="201" t="s">
        <v>170</v>
      </c>
      <c r="O2" s="146"/>
    </row>
    <row r="3" spans="1:15">
      <c r="A3" s="146"/>
      <c r="B3" s="146"/>
      <c r="C3" s="146"/>
      <c r="D3" s="146"/>
      <c r="E3" s="146"/>
      <c r="F3" s="146"/>
      <c r="G3" s="146"/>
      <c r="H3" s="146"/>
      <c r="I3" s="146"/>
      <c r="J3" s="146"/>
      <c r="K3" s="146"/>
      <c r="L3" s="146"/>
      <c r="M3" s="146"/>
      <c r="N3" s="146"/>
      <c r="O3" s="146"/>
    </row>
    <row r="4" ht="14.45" spans="1:15">
      <c r="A4" s="146"/>
      <c r="B4" s="154" t="s">
        <v>171</v>
      </c>
      <c r="C4" s="154" t="s">
        <v>172</v>
      </c>
      <c r="D4" s="154" t="s">
        <v>173</v>
      </c>
      <c r="E4" s="154" t="s">
        <v>174</v>
      </c>
      <c r="F4" s="154" t="s">
        <v>175</v>
      </c>
      <c r="G4" s="154" t="s">
        <v>176</v>
      </c>
      <c r="H4" s="154" t="s">
        <v>177</v>
      </c>
      <c r="I4" s="146"/>
      <c r="J4" s="202" t="s">
        <v>178</v>
      </c>
      <c r="K4" s="203"/>
      <c r="L4" s="203"/>
      <c r="M4" s="204"/>
      <c r="N4" s="146"/>
      <c r="O4" s="146"/>
    </row>
    <row r="5" ht="12.6" spans="1:15">
      <c r="A5" s="146"/>
      <c r="B5" s="155" t="s">
        <v>179</v>
      </c>
      <c r="C5" s="156"/>
      <c r="D5" s="156"/>
      <c r="E5" s="156"/>
      <c r="F5" s="156"/>
      <c r="G5" s="156"/>
      <c r="H5" s="156"/>
      <c r="I5" s="146"/>
      <c r="J5" s="205" t="s">
        <v>180</v>
      </c>
      <c r="K5" s="206"/>
      <c r="L5" s="207" t="s">
        <v>161</v>
      </c>
      <c r="M5" s="208" t="s">
        <v>181</v>
      </c>
      <c r="N5" s="146"/>
      <c r="O5" s="146"/>
    </row>
    <row r="6" ht="13.05" spans="1:15">
      <c r="A6" s="146"/>
      <c r="B6" s="157" t="s">
        <v>31</v>
      </c>
      <c r="C6" s="158">
        <v>2.8</v>
      </c>
      <c r="D6" s="158">
        <v>30</v>
      </c>
      <c r="E6" s="159" t="s">
        <v>182</v>
      </c>
      <c r="F6" s="159" t="s">
        <v>183</v>
      </c>
      <c r="G6" s="159">
        <v>2</v>
      </c>
      <c r="H6" s="159">
        <v>3</v>
      </c>
      <c r="I6" s="146"/>
      <c r="J6" s="209" t="s">
        <v>184</v>
      </c>
      <c r="K6" s="210"/>
      <c r="L6" s="211" t="s">
        <v>163</v>
      </c>
      <c r="M6" s="212" t="s">
        <v>185</v>
      </c>
      <c r="N6" s="146"/>
      <c r="O6" s="146"/>
    </row>
    <row r="7" ht="13.05" spans="1:15">
      <c r="A7" s="146"/>
      <c r="B7" s="160" t="s">
        <v>33</v>
      </c>
      <c r="C7" s="161">
        <v>3.8</v>
      </c>
      <c r="D7" s="161">
        <v>10</v>
      </c>
      <c r="E7" s="162" t="s">
        <v>182</v>
      </c>
      <c r="F7" s="159" t="s">
        <v>183</v>
      </c>
      <c r="G7" s="159">
        <v>1</v>
      </c>
      <c r="H7" s="159">
        <v>5</v>
      </c>
      <c r="I7" s="146"/>
      <c r="J7" s="213" t="s">
        <v>186</v>
      </c>
      <c r="K7" s="214"/>
      <c r="L7" s="211" t="s">
        <v>165</v>
      </c>
      <c r="M7" s="208" t="s">
        <v>187</v>
      </c>
      <c r="N7" s="146"/>
      <c r="O7" s="146"/>
    </row>
    <row r="8" ht="13.05" spans="1:15">
      <c r="A8" s="146"/>
      <c r="B8" s="160" t="s">
        <v>34</v>
      </c>
      <c r="C8" s="161">
        <v>2.8</v>
      </c>
      <c r="D8" s="161">
        <v>9</v>
      </c>
      <c r="E8" s="162" t="s">
        <v>182</v>
      </c>
      <c r="F8" s="159" t="s">
        <v>183</v>
      </c>
      <c r="G8" s="159">
        <v>1</v>
      </c>
      <c r="H8" s="159">
        <v>5</v>
      </c>
      <c r="I8" s="146"/>
      <c r="J8" s="213"/>
      <c r="K8" s="214"/>
      <c r="L8" s="215" t="s">
        <v>188</v>
      </c>
      <c r="M8" s="216" t="s">
        <v>189</v>
      </c>
      <c r="N8" s="146"/>
      <c r="O8" s="146"/>
    </row>
    <row r="9" ht="13.05" spans="1:15">
      <c r="A9" s="146"/>
      <c r="B9" s="160" t="s">
        <v>35</v>
      </c>
      <c r="C9" s="161">
        <v>1</v>
      </c>
      <c r="D9" s="161">
        <v>7.2</v>
      </c>
      <c r="E9" s="162" t="s">
        <v>182</v>
      </c>
      <c r="F9" s="159" t="s">
        <v>183</v>
      </c>
      <c r="G9" s="159">
        <v>1</v>
      </c>
      <c r="H9" s="159">
        <v>5</v>
      </c>
      <c r="I9" s="146"/>
      <c r="J9" s="217" t="s">
        <v>190</v>
      </c>
      <c r="K9" s="218"/>
      <c r="L9" s="219" t="s">
        <v>191</v>
      </c>
      <c r="M9" s="220" t="s">
        <v>170</v>
      </c>
      <c r="N9" s="146"/>
      <c r="O9" s="146"/>
    </row>
    <row r="10" ht="13.05" spans="1:15">
      <c r="A10" s="146"/>
      <c r="B10" s="160" t="s">
        <v>36</v>
      </c>
      <c r="C10" s="161">
        <v>0</v>
      </c>
      <c r="D10" s="161">
        <v>0.1</v>
      </c>
      <c r="E10" s="162" t="s">
        <v>192</v>
      </c>
      <c r="F10" s="159" t="s">
        <v>183</v>
      </c>
      <c r="G10" s="159">
        <v>4</v>
      </c>
      <c r="H10" s="159">
        <v>1</v>
      </c>
      <c r="I10" s="146"/>
      <c r="J10" s="146"/>
      <c r="K10" s="146"/>
      <c r="L10" s="146"/>
      <c r="M10" s="146"/>
      <c r="N10" s="146"/>
      <c r="O10" s="146"/>
    </row>
    <row r="11" ht="13.05" spans="1:15">
      <c r="A11" s="146"/>
      <c r="B11" s="160" t="s">
        <v>38</v>
      </c>
      <c r="C11" s="161">
        <v>1</v>
      </c>
      <c r="D11" s="161">
        <v>9</v>
      </c>
      <c r="E11" s="162" t="s">
        <v>193</v>
      </c>
      <c r="F11" s="159" t="s">
        <v>183</v>
      </c>
      <c r="G11" s="159">
        <v>1</v>
      </c>
      <c r="H11" s="159">
        <v>5</v>
      </c>
      <c r="I11" s="146"/>
      <c r="J11" s="146"/>
      <c r="K11" s="146"/>
      <c r="L11" s="146"/>
      <c r="M11" s="146"/>
      <c r="N11" s="146"/>
      <c r="O11" s="146"/>
    </row>
    <row r="12" ht="13.8" spans="1:15">
      <c r="A12" s="146"/>
      <c r="B12" s="160" t="s">
        <v>40</v>
      </c>
      <c r="C12" s="161">
        <v>0</v>
      </c>
      <c r="D12" s="163">
        <f>IF(ALT="Alt-B",2.8,IF(HighPwrGrant="PHY",IF(PD_Pwr="Type-2",2.8,9),9))</f>
        <v>9</v>
      </c>
      <c r="E12" s="162" t="s">
        <v>182</v>
      </c>
      <c r="F12" s="159" t="s">
        <v>183</v>
      </c>
      <c r="G12" s="159">
        <v>1</v>
      </c>
      <c r="H12" s="163">
        <f>IF(HighPwrGrant="PHY",IF(PD_Pwr="Type-2",5,1),1)</f>
        <v>1</v>
      </c>
      <c r="I12" s="146"/>
      <c r="J12" s="221" t="s">
        <v>194</v>
      </c>
      <c r="K12" s="146"/>
      <c r="L12" s="146"/>
      <c r="M12" s="146"/>
      <c r="N12" s="146"/>
      <c r="O12" s="146"/>
    </row>
    <row r="13" ht="13.05" spans="1:15">
      <c r="A13" s="146"/>
      <c r="B13" s="160" t="s">
        <v>41</v>
      </c>
      <c r="C13" s="161">
        <v>0</v>
      </c>
      <c r="D13" s="161">
        <v>0.1</v>
      </c>
      <c r="E13" s="162" t="s">
        <v>182</v>
      </c>
      <c r="F13" s="159" t="s">
        <v>195</v>
      </c>
      <c r="G13" s="159">
        <v>1</v>
      </c>
      <c r="H13" s="159">
        <v>0</v>
      </c>
      <c r="I13" s="146"/>
      <c r="J13" s="222" t="s">
        <v>196</v>
      </c>
      <c r="K13" s="223"/>
      <c r="L13" s="223"/>
      <c r="M13" s="224"/>
      <c r="N13" s="146"/>
      <c r="O13" s="146"/>
    </row>
    <row r="14" ht="13.05" spans="1:15">
      <c r="A14" s="146"/>
      <c r="B14" s="160" t="s">
        <v>42</v>
      </c>
      <c r="C14" s="161">
        <v>3.8</v>
      </c>
      <c r="D14" s="161">
        <v>11</v>
      </c>
      <c r="E14" s="162" t="s">
        <v>182</v>
      </c>
      <c r="F14" s="159" t="s">
        <v>195</v>
      </c>
      <c r="G14" s="159">
        <v>1</v>
      </c>
      <c r="H14" s="159">
        <v>1</v>
      </c>
      <c r="I14" s="146"/>
      <c r="J14" s="225" t="s">
        <v>197</v>
      </c>
      <c r="K14" s="226"/>
      <c r="L14" s="226"/>
      <c r="M14" s="227"/>
      <c r="N14" s="146"/>
      <c r="O14" s="146"/>
    </row>
    <row r="15" ht="13.05" spans="1:15">
      <c r="A15" s="146"/>
      <c r="B15" s="160" t="s">
        <v>43</v>
      </c>
      <c r="C15" s="161">
        <v>0</v>
      </c>
      <c r="D15" s="161">
        <v>0</v>
      </c>
      <c r="E15" s="162" t="s">
        <v>198</v>
      </c>
      <c r="F15" s="159" t="s">
        <v>195</v>
      </c>
      <c r="G15" s="159">
        <v>0</v>
      </c>
      <c r="H15" s="159">
        <v>0</v>
      </c>
      <c r="I15" s="146"/>
      <c r="J15" s="228" t="s">
        <v>199</v>
      </c>
      <c r="K15" s="229"/>
      <c r="L15" s="229"/>
      <c r="M15" s="230"/>
      <c r="N15" s="146"/>
      <c r="O15" s="146"/>
    </row>
    <row r="16" ht="13.05" spans="1:15">
      <c r="A16" s="146"/>
      <c r="B16" s="160" t="s">
        <v>45</v>
      </c>
      <c r="C16" s="161">
        <v>0</v>
      </c>
      <c r="D16" s="161">
        <v>2</v>
      </c>
      <c r="E16" s="162" t="s">
        <v>198</v>
      </c>
      <c r="F16" s="159" t="s">
        <v>183</v>
      </c>
      <c r="G16" s="159">
        <v>0</v>
      </c>
      <c r="H16" s="159">
        <v>3</v>
      </c>
      <c r="I16" s="146"/>
      <c r="J16" s="231" t="s">
        <v>200</v>
      </c>
      <c r="K16" s="232"/>
      <c r="L16" s="232"/>
      <c r="M16" s="233"/>
      <c r="N16" s="146"/>
      <c r="O16" s="146"/>
    </row>
    <row r="17" spans="1:15">
      <c r="A17" s="146"/>
      <c r="B17" s="164" t="s">
        <v>201</v>
      </c>
      <c r="C17" s="165"/>
      <c r="D17" s="165"/>
      <c r="E17" s="166"/>
      <c r="F17" s="166"/>
      <c r="G17" s="166"/>
      <c r="H17" s="166"/>
      <c r="I17" s="146"/>
      <c r="J17" s="234" t="s">
        <v>202</v>
      </c>
      <c r="K17" s="235"/>
      <c r="L17" s="235"/>
      <c r="M17" s="236"/>
      <c r="N17" s="146"/>
      <c r="O17" s="146"/>
    </row>
    <row r="18" ht="13.8" spans="1:15">
      <c r="A18" s="146"/>
      <c r="B18" s="157" t="s">
        <v>47</v>
      </c>
      <c r="C18" s="158">
        <v>0</v>
      </c>
      <c r="D18" s="158">
        <v>5</v>
      </c>
      <c r="E18" s="159" t="s">
        <v>203</v>
      </c>
      <c r="F18" s="159" t="s">
        <v>183</v>
      </c>
      <c r="G18" s="159">
        <v>2</v>
      </c>
      <c r="H18" s="159">
        <v>1</v>
      </c>
      <c r="I18" s="146"/>
      <c r="J18" s="237" t="s">
        <v>204</v>
      </c>
      <c r="K18" s="238"/>
      <c r="L18" s="238"/>
      <c r="M18" s="239"/>
      <c r="N18" s="146"/>
      <c r="O18" s="146"/>
    </row>
    <row r="19" ht="13.05" spans="1:15">
      <c r="A19" s="146"/>
      <c r="B19" s="160" t="s">
        <v>49</v>
      </c>
      <c r="C19" s="161">
        <v>0</v>
      </c>
      <c r="D19" s="161">
        <v>5</v>
      </c>
      <c r="E19" s="162" t="s">
        <v>203</v>
      </c>
      <c r="F19" s="159" t="s">
        <v>183</v>
      </c>
      <c r="G19" s="159">
        <v>2</v>
      </c>
      <c r="H19" s="159">
        <v>1</v>
      </c>
      <c r="I19" s="146"/>
      <c r="J19" s="146"/>
      <c r="K19" s="146"/>
      <c r="L19" s="146"/>
      <c r="M19" s="146"/>
      <c r="N19" s="146"/>
      <c r="O19" s="146"/>
    </row>
    <row r="20" spans="1:15">
      <c r="A20" s="146"/>
      <c r="B20" s="164" t="s">
        <v>205</v>
      </c>
      <c r="C20" s="165"/>
      <c r="D20" s="165"/>
      <c r="E20" s="166"/>
      <c r="F20" s="166"/>
      <c r="G20" s="166"/>
      <c r="H20" s="166"/>
      <c r="I20" s="146"/>
      <c r="J20" s="146"/>
      <c r="K20" s="146"/>
      <c r="L20" s="146"/>
      <c r="M20" s="146"/>
      <c r="N20" s="146"/>
      <c r="O20" s="146"/>
    </row>
    <row r="21" ht="13.8" spans="1:15">
      <c r="A21" s="146"/>
      <c r="B21" s="157" t="s">
        <v>51</v>
      </c>
      <c r="C21" s="158">
        <v>26</v>
      </c>
      <c r="D21" s="158">
        <v>32</v>
      </c>
      <c r="E21" s="159" t="s">
        <v>206</v>
      </c>
      <c r="F21" s="159" t="s">
        <v>183</v>
      </c>
      <c r="G21" s="159">
        <v>1</v>
      </c>
      <c r="H21" s="159">
        <v>5</v>
      </c>
      <c r="I21" s="146"/>
      <c r="J21" s="240" t="s">
        <v>207</v>
      </c>
      <c r="K21" s="240"/>
      <c r="L21" s="240"/>
      <c r="M21" s="24"/>
      <c r="N21" s="146"/>
      <c r="O21" s="146"/>
    </row>
    <row r="22" ht="13.05" spans="1:15">
      <c r="A22" s="146"/>
      <c r="B22" s="160" t="s">
        <v>53</v>
      </c>
      <c r="C22" s="161">
        <v>16</v>
      </c>
      <c r="D22" s="161">
        <v>19</v>
      </c>
      <c r="E22" s="162" t="s">
        <v>206</v>
      </c>
      <c r="F22" s="159" t="s">
        <v>183</v>
      </c>
      <c r="G22" s="159">
        <v>1</v>
      </c>
      <c r="H22" s="159">
        <v>5</v>
      </c>
      <c r="I22" s="146"/>
      <c r="J22" s="241" t="s">
        <v>208</v>
      </c>
      <c r="K22" s="242"/>
      <c r="L22" s="242"/>
      <c r="M22" s="243"/>
      <c r="N22" s="146"/>
      <c r="O22" s="146"/>
    </row>
    <row r="23" ht="13.8" spans="1:15">
      <c r="A23" s="146"/>
      <c r="B23" s="160" t="s">
        <v>54</v>
      </c>
      <c r="C23" s="161">
        <v>26</v>
      </c>
      <c r="D23" s="161">
        <v>33</v>
      </c>
      <c r="E23" s="162" t="s">
        <v>206</v>
      </c>
      <c r="F23" s="159" t="s">
        <v>183</v>
      </c>
      <c r="G23" s="159">
        <v>1</v>
      </c>
      <c r="H23" s="159">
        <v>3</v>
      </c>
      <c r="I23" s="146"/>
      <c r="J23" s="244" t="s">
        <v>209</v>
      </c>
      <c r="K23" s="245"/>
      <c r="L23" s="245"/>
      <c r="M23" s="246"/>
      <c r="N23" s="146"/>
      <c r="O23" s="146"/>
    </row>
    <row r="24" ht="13.05" spans="1:15">
      <c r="A24" s="146"/>
      <c r="B24" s="160" t="s">
        <v>55</v>
      </c>
      <c r="C24" s="161">
        <v>0</v>
      </c>
      <c r="D24" s="161">
        <v>10</v>
      </c>
      <c r="E24" s="167" t="s">
        <v>210</v>
      </c>
      <c r="F24" s="159" t="s">
        <v>183</v>
      </c>
      <c r="G24" s="159">
        <v>1</v>
      </c>
      <c r="H24" s="159">
        <v>3</v>
      </c>
      <c r="I24" s="146"/>
      <c r="J24" s="24"/>
      <c r="K24" s="24"/>
      <c r="L24" s="24"/>
      <c r="M24" s="24"/>
      <c r="N24" s="24"/>
      <c r="O24" s="146"/>
    </row>
    <row r="25" ht="13.05" spans="1:15">
      <c r="A25" s="146"/>
      <c r="B25" s="160" t="s">
        <v>57</v>
      </c>
      <c r="C25" s="168">
        <v>0</v>
      </c>
      <c r="D25" s="168">
        <v>0</v>
      </c>
      <c r="E25" s="162" t="s">
        <v>198</v>
      </c>
      <c r="F25" s="169" t="s">
        <v>183</v>
      </c>
      <c r="G25" s="169">
        <v>1</v>
      </c>
      <c r="H25" s="169">
        <v>3</v>
      </c>
      <c r="I25" s="146"/>
      <c r="J25" s="24"/>
      <c r="K25" s="24"/>
      <c r="L25" s="24"/>
      <c r="M25" s="24"/>
      <c r="N25" s="24"/>
      <c r="O25" s="146"/>
    </row>
    <row r="26" spans="1:15">
      <c r="A26" s="146"/>
      <c r="B26" s="164" t="s">
        <v>211</v>
      </c>
      <c r="C26" s="165"/>
      <c r="D26" s="165"/>
      <c r="E26" s="166"/>
      <c r="F26" s="166"/>
      <c r="G26" s="166"/>
      <c r="H26" s="166"/>
      <c r="I26" s="146"/>
      <c r="J26" s="24"/>
      <c r="K26" s="24"/>
      <c r="L26" s="24"/>
      <c r="M26" s="24"/>
      <c r="N26" s="24"/>
      <c r="O26" s="24"/>
    </row>
    <row r="27" ht="13.05" spans="1:15">
      <c r="A27" s="146"/>
      <c r="B27" s="170" t="s">
        <v>59</v>
      </c>
      <c r="C27" s="163">
        <f>IF(ALT="Alt-A",-1,2000)</f>
        <v>-1</v>
      </c>
      <c r="D27" s="163">
        <f>IF(ALT="Alt-A",1500,16000)</f>
        <v>1500</v>
      </c>
      <c r="E27" s="171" t="s">
        <v>212</v>
      </c>
      <c r="F27" s="172" t="str">
        <f>IF(ALT="Alt-A","Warn","PF")</f>
        <v>Warn</v>
      </c>
      <c r="G27" s="171">
        <v>1</v>
      </c>
      <c r="H27" s="171">
        <v>1</v>
      </c>
      <c r="I27" s="146"/>
      <c r="J27" s="24"/>
      <c r="K27" s="24"/>
      <c r="L27" s="24"/>
      <c r="M27" s="24"/>
      <c r="N27" s="24"/>
      <c r="O27" s="24"/>
    </row>
    <row r="28" ht="13.05" spans="1:15">
      <c r="A28" s="146"/>
      <c r="B28" s="170" t="s">
        <v>61</v>
      </c>
      <c r="C28" s="163">
        <f>C27</f>
        <v>-1</v>
      </c>
      <c r="D28" s="163">
        <f>IF(ALT="Alt-A",1500,16000)</f>
        <v>1500</v>
      </c>
      <c r="E28" s="171" t="s">
        <v>212</v>
      </c>
      <c r="F28" s="173" t="str">
        <f>IF(ALT="Alt-A","Warn","PF")</f>
        <v>Warn</v>
      </c>
      <c r="G28" s="174">
        <v>1</v>
      </c>
      <c r="H28" s="171">
        <v>1</v>
      </c>
      <c r="I28" s="146"/>
      <c r="J28" s="24"/>
      <c r="K28" s="24"/>
      <c r="L28" s="24"/>
      <c r="M28" s="24"/>
      <c r="N28" s="24"/>
      <c r="O28" s="24"/>
    </row>
    <row r="29" ht="13.05" spans="1:15">
      <c r="A29" s="146"/>
      <c r="B29" s="170" t="s">
        <v>62</v>
      </c>
      <c r="C29" s="171">
        <v>0</v>
      </c>
      <c r="D29" s="171">
        <v>0</v>
      </c>
      <c r="E29" s="162" t="s">
        <v>198</v>
      </c>
      <c r="F29" s="171" t="s">
        <v>195</v>
      </c>
      <c r="G29" s="171">
        <v>0</v>
      </c>
      <c r="H29" s="171">
        <v>1</v>
      </c>
      <c r="I29" s="146"/>
      <c r="J29" s="146"/>
      <c r="K29" s="146"/>
      <c r="L29" s="146"/>
      <c r="M29" s="146"/>
      <c r="N29" s="24"/>
      <c r="O29" s="24"/>
    </row>
    <row r="30" ht="13.05" spans="1:15">
      <c r="A30" s="146"/>
      <c r="B30" s="160" t="s">
        <v>63</v>
      </c>
      <c r="C30" s="161">
        <v>5</v>
      </c>
      <c r="D30" s="161">
        <v>500</v>
      </c>
      <c r="E30" s="162" t="s">
        <v>212</v>
      </c>
      <c r="F30" s="159" t="s">
        <v>183</v>
      </c>
      <c r="G30" s="159">
        <v>1</v>
      </c>
      <c r="H30" s="159">
        <v>1</v>
      </c>
      <c r="I30" s="146"/>
      <c r="J30" s="146"/>
      <c r="K30" s="146"/>
      <c r="L30" s="146"/>
      <c r="M30" s="146"/>
      <c r="N30" s="146"/>
      <c r="O30" s="146"/>
    </row>
    <row r="31" ht="13.05" spans="1:15">
      <c r="A31" s="146"/>
      <c r="B31" s="160" t="s">
        <v>64</v>
      </c>
      <c r="C31" s="161">
        <v>5</v>
      </c>
      <c r="D31" s="161">
        <v>1000</v>
      </c>
      <c r="E31" s="162" t="s">
        <v>212</v>
      </c>
      <c r="F31" s="159" t="s">
        <v>183</v>
      </c>
      <c r="G31" s="159">
        <v>1</v>
      </c>
      <c r="H31" s="159">
        <v>0</v>
      </c>
      <c r="I31" s="146"/>
      <c r="J31" s="146"/>
      <c r="K31" s="146"/>
      <c r="L31" s="146"/>
      <c r="M31" s="146"/>
      <c r="N31" s="146"/>
      <c r="O31" s="146"/>
    </row>
    <row r="32" spans="1:15">
      <c r="A32" s="146"/>
      <c r="B32" s="164" t="s">
        <v>213</v>
      </c>
      <c r="C32" s="165"/>
      <c r="D32" s="165"/>
      <c r="E32" s="166"/>
      <c r="F32" s="166"/>
      <c r="G32" s="166"/>
      <c r="H32" s="166"/>
      <c r="I32" s="146"/>
      <c r="J32" s="146"/>
      <c r="K32" s="146"/>
      <c r="L32" s="146"/>
      <c r="M32" s="146"/>
      <c r="N32" s="146"/>
      <c r="O32" s="146"/>
    </row>
    <row r="33" ht="13.05" spans="1:15">
      <c r="A33" s="146"/>
      <c r="B33" s="157" t="s">
        <v>66</v>
      </c>
      <c r="C33" s="158">
        <v>45</v>
      </c>
      <c r="D33" s="158">
        <v>2000</v>
      </c>
      <c r="E33" s="159" t="s">
        <v>206</v>
      </c>
      <c r="F33" s="159" t="s">
        <v>195</v>
      </c>
      <c r="G33" s="159">
        <v>1</v>
      </c>
      <c r="H33" s="159">
        <v>1</v>
      </c>
      <c r="I33" s="146"/>
      <c r="J33" s="146"/>
      <c r="K33" s="146"/>
      <c r="L33" s="146"/>
      <c r="M33" s="146"/>
      <c r="N33" s="146"/>
      <c r="O33" s="146"/>
    </row>
    <row r="34" ht="13.05" spans="1:15">
      <c r="A34" s="146"/>
      <c r="B34" s="160" t="s">
        <v>214</v>
      </c>
      <c r="C34" s="161">
        <v>-0.1</v>
      </c>
      <c r="D34" s="161">
        <v>12</v>
      </c>
      <c r="E34" s="162" t="s">
        <v>206</v>
      </c>
      <c r="F34" s="159" t="s">
        <v>195</v>
      </c>
      <c r="G34" s="159">
        <v>1</v>
      </c>
      <c r="H34" s="159">
        <v>0</v>
      </c>
      <c r="I34" s="146"/>
      <c r="J34" s="146"/>
      <c r="K34" s="146"/>
      <c r="L34" s="146"/>
      <c r="M34" s="146"/>
      <c r="N34" s="146"/>
      <c r="O34" s="146"/>
    </row>
    <row r="35" spans="1:15">
      <c r="A35" s="146"/>
      <c r="B35" s="164" t="s">
        <v>215</v>
      </c>
      <c r="C35" s="165"/>
      <c r="D35" s="165"/>
      <c r="E35" s="166"/>
      <c r="F35" s="166"/>
      <c r="G35" s="166"/>
      <c r="H35" s="166"/>
      <c r="I35" s="146"/>
      <c r="J35" s="146"/>
      <c r="K35" s="146"/>
      <c r="L35" s="146"/>
      <c r="M35" s="146"/>
      <c r="N35" s="146"/>
      <c r="O35" s="146"/>
    </row>
    <row r="36" ht="13.05" spans="1:15">
      <c r="A36" s="146"/>
      <c r="B36" s="157" t="s">
        <v>69</v>
      </c>
      <c r="C36" s="158">
        <v>15.5</v>
      </c>
      <c r="D36" s="158">
        <v>20.5</v>
      </c>
      <c r="E36" s="159" t="s">
        <v>182</v>
      </c>
      <c r="F36" s="159" t="s">
        <v>183</v>
      </c>
      <c r="G36" s="159">
        <v>1</v>
      </c>
      <c r="H36" s="159">
        <v>5</v>
      </c>
      <c r="I36" s="146"/>
      <c r="J36" s="146"/>
      <c r="K36" s="146"/>
      <c r="L36" s="146"/>
      <c r="M36" s="146"/>
      <c r="N36" s="146"/>
      <c r="O36" s="146"/>
    </row>
    <row r="37" ht="13.8" spans="1:15">
      <c r="A37" s="146"/>
      <c r="B37" s="157" t="s">
        <v>70</v>
      </c>
      <c r="C37" s="161">
        <v>15.5</v>
      </c>
      <c r="D37" s="161">
        <v>20.5</v>
      </c>
      <c r="E37" s="162" t="s">
        <v>182</v>
      </c>
      <c r="F37" s="159" t="s">
        <v>183</v>
      </c>
      <c r="G37" s="159">
        <v>1</v>
      </c>
      <c r="H37" s="159">
        <v>5</v>
      </c>
      <c r="I37" s="146"/>
      <c r="J37" s="24"/>
      <c r="K37" s="24"/>
      <c r="L37" s="24"/>
      <c r="M37" s="24"/>
      <c r="N37" s="24"/>
      <c r="O37" s="146"/>
    </row>
    <row r="38" ht="13.05" spans="1:15">
      <c r="A38" s="146"/>
      <c r="B38" s="160" t="s">
        <v>216</v>
      </c>
      <c r="C38" s="175">
        <v>7</v>
      </c>
      <c r="D38" s="175">
        <v>10</v>
      </c>
      <c r="E38" s="162" t="s">
        <v>182</v>
      </c>
      <c r="F38" s="159" t="s">
        <v>183</v>
      </c>
      <c r="G38" s="176">
        <v>1</v>
      </c>
      <c r="H38" s="162">
        <v>5</v>
      </c>
      <c r="I38" s="146"/>
      <c r="J38" s="247" t="s">
        <v>217</v>
      </c>
      <c r="K38" s="248"/>
      <c r="L38" s="247" t="s">
        <v>218</v>
      </c>
      <c r="M38" s="248"/>
      <c r="N38" s="146"/>
      <c r="O38" s="146"/>
    </row>
    <row r="39" ht="13.05" spans="1:15">
      <c r="A39" s="146"/>
      <c r="B39" s="160" t="s">
        <v>219</v>
      </c>
      <c r="C39" s="175">
        <v>7</v>
      </c>
      <c r="D39" s="175">
        <v>10</v>
      </c>
      <c r="E39" s="162" t="s">
        <v>182</v>
      </c>
      <c r="F39" s="159" t="s">
        <v>183</v>
      </c>
      <c r="G39" s="176">
        <v>1</v>
      </c>
      <c r="H39" s="162">
        <v>5</v>
      </c>
      <c r="I39" s="146"/>
      <c r="J39" s="249" t="s">
        <v>172</v>
      </c>
      <c r="K39" s="250" t="s">
        <v>173</v>
      </c>
      <c r="L39" s="249" t="s">
        <v>172</v>
      </c>
      <c r="M39" s="250" t="s">
        <v>173</v>
      </c>
      <c r="N39" s="146"/>
      <c r="O39" s="146"/>
    </row>
    <row r="40" ht="13.05" spans="1:15">
      <c r="A40" s="146"/>
      <c r="B40" s="177" t="s">
        <v>220</v>
      </c>
      <c r="C40" s="178">
        <v>-1</v>
      </c>
      <c r="D40" s="179">
        <v>2.8</v>
      </c>
      <c r="E40" s="180" t="s">
        <v>182</v>
      </c>
      <c r="F40" s="159" t="s">
        <v>183</v>
      </c>
      <c r="G40" s="181">
        <v>1</v>
      </c>
      <c r="H40" s="180">
        <v>5</v>
      </c>
      <c r="I40" s="146"/>
      <c r="J40" s="251"/>
      <c r="K40" s="252"/>
      <c r="L40" s="251"/>
      <c r="M40" s="252"/>
      <c r="N40" s="146"/>
      <c r="O40" s="146"/>
    </row>
    <row r="41" spans="1:15">
      <c r="A41" s="146"/>
      <c r="B41" s="164" t="s">
        <v>221</v>
      </c>
      <c r="C41" s="165"/>
      <c r="D41" s="165"/>
      <c r="E41" s="166"/>
      <c r="F41" s="166"/>
      <c r="G41" s="166"/>
      <c r="H41" s="166"/>
      <c r="I41" s="146"/>
      <c r="J41" s="253"/>
      <c r="K41" s="254"/>
      <c r="L41" s="253"/>
      <c r="M41" s="254"/>
      <c r="N41" s="146"/>
      <c r="O41" s="146"/>
    </row>
    <row r="42" ht="13.05" spans="1:15">
      <c r="A42" s="146"/>
      <c r="B42" s="170" t="s">
        <v>73</v>
      </c>
      <c r="C42" s="182">
        <f>IF(BT="YES",L42,J42)</f>
        <v>5.6</v>
      </c>
      <c r="D42" s="182">
        <f>IF(BT="YES",M42,K42)</f>
        <v>75</v>
      </c>
      <c r="E42" s="159" t="s">
        <v>212</v>
      </c>
      <c r="F42" s="159" t="s">
        <v>183</v>
      </c>
      <c r="G42" s="159">
        <v>1</v>
      </c>
      <c r="H42" s="159">
        <v>5</v>
      </c>
      <c r="I42" s="146"/>
      <c r="J42" s="255">
        <v>5.6</v>
      </c>
      <c r="K42" s="256">
        <v>75</v>
      </c>
      <c r="L42" s="255">
        <v>88</v>
      </c>
      <c r="M42" s="256">
        <v>105</v>
      </c>
      <c r="N42" s="146"/>
      <c r="O42" s="146"/>
    </row>
    <row r="43" ht="13.8" spans="1:15">
      <c r="A43" s="146"/>
      <c r="B43" s="183" t="s">
        <v>72</v>
      </c>
      <c r="C43" s="184">
        <f>IF(BT="YES",IF(OR(HighPwrGrant="NONE",HighPwrGrant="LLDP",PD_Pwr="Type-1"),1,2),IF(HighPwrGrant="NONE",0,IF(AND(HighPwrGrant&lt;&gt;"LLDP",PD_Pwr="Type-2"),2,1)))</f>
        <v>0</v>
      </c>
      <c r="D43" s="184">
        <f>IF(BT="YES",IF(PD_Pwr="Type-2",3,1),IF(OR(HighPwrGrant="NONE",HighPwrGrant="LLDP"),1,3))</f>
        <v>1</v>
      </c>
      <c r="E43" s="162" t="s">
        <v>198</v>
      </c>
      <c r="F43" s="162" t="s">
        <v>183</v>
      </c>
      <c r="G43" s="162">
        <v>0</v>
      </c>
      <c r="H43" s="162">
        <v>5</v>
      </c>
      <c r="I43" s="146"/>
      <c r="J43" s="257" t="s">
        <v>222</v>
      </c>
      <c r="K43" s="258"/>
      <c r="L43" s="257" t="s">
        <v>223</v>
      </c>
      <c r="M43" s="258"/>
      <c r="N43" s="146"/>
      <c r="O43" s="146"/>
    </row>
    <row r="44" ht="13.05" spans="1:15">
      <c r="A44" s="146"/>
      <c r="B44" s="183" t="s">
        <v>224</v>
      </c>
      <c r="C44" s="185">
        <v>5.6</v>
      </c>
      <c r="D44" s="185">
        <v>30</v>
      </c>
      <c r="E44" s="159" t="s">
        <v>212</v>
      </c>
      <c r="F44" s="162" t="s">
        <v>183</v>
      </c>
      <c r="G44" s="162">
        <v>1</v>
      </c>
      <c r="H44" s="162">
        <v>5</v>
      </c>
      <c r="I44" s="146"/>
      <c r="J44" s="24"/>
      <c r="K44" s="24"/>
      <c r="L44" s="24"/>
      <c r="M44" s="24"/>
      <c r="N44" s="146"/>
      <c r="O44" s="146"/>
    </row>
    <row r="45" ht="13.05" spans="1:15">
      <c r="A45" s="146"/>
      <c r="B45" s="186" t="s">
        <v>225</v>
      </c>
      <c r="C45" s="185">
        <v>88</v>
      </c>
      <c r="D45" s="185">
        <v>105</v>
      </c>
      <c r="E45" s="187" t="s">
        <v>212</v>
      </c>
      <c r="F45" s="162" t="s">
        <v>183</v>
      </c>
      <c r="G45" s="162">
        <v>1</v>
      </c>
      <c r="H45" s="162">
        <v>5</v>
      </c>
      <c r="I45" s="146"/>
      <c r="J45" s="24"/>
      <c r="K45" s="24"/>
      <c r="L45" s="24"/>
      <c r="M45" s="24"/>
      <c r="N45" s="146"/>
      <c r="O45" s="146"/>
    </row>
    <row r="46" ht="13.05" spans="1:15">
      <c r="A46" s="146"/>
      <c r="B46" s="188" t="s">
        <v>226</v>
      </c>
      <c r="C46" s="189">
        <v>5.6</v>
      </c>
      <c r="D46" s="189">
        <v>30</v>
      </c>
      <c r="E46" s="187" t="s">
        <v>212</v>
      </c>
      <c r="F46" s="162" t="s">
        <v>183</v>
      </c>
      <c r="G46" s="162">
        <v>1</v>
      </c>
      <c r="H46" s="162">
        <v>5</v>
      </c>
      <c r="I46" s="146"/>
      <c r="J46" s="24"/>
      <c r="K46" s="24"/>
      <c r="L46" s="24"/>
      <c r="M46" s="24"/>
      <c r="N46" s="146"/>
      <c r="O46" s="146"/>
    </row>
    <row r="47" ht="13.8" spans="1:15">
      <c r="A47" s="146"/>
      <c r="B47" s="188" t="s">
        <v>227</v>
      </c>
      <c r="C47" s="189">
        <v>5.6</v>
      </c>
      <c r="D47" s="189">
        <v>12.4</v>
      </c>
      <c r="E47" s="187" t="s">
        <v>212</v>
      </c>
      <c r="F47" s="162" t="s">
        <v>183</v>
      </c>
      <c r="G47" s="162">
        <v>1</v>
      </c>
      <c r="H47" s="162">
        <v>5</v>
      </c>
      <c r="I47" s="146"/>
      <c r="J47" s="259" t="s">
        <v>228</v>
      </c>
      <c r="K47" s="24"/>
      <c r="L47" s="24"/>
      <c r="M47" s="24"/>
      <c r="N47" s="146"/>
      <c r="O47" s="146"/>
    </row>
    <row r="48" ht="13.05" spans="1:15">
      <c r="A48" s="146"/>
      <c r="B48" s="188" t="s">
        <v>229</v>
      </c>
      <c r="C48" s="189">
        <v>5.6</v>
      </c>
      <c r="D48" s="189">
        <v>376</v>
      </c>
      <c r="E48" s="187" t="s">
        <v>212</v>
      </c>
      <c r="F48" s="162" t="s">
        <v>183</v>
      </c>
      <c r="G48" s="162">
        <v>1</v>
      </c>
      <c r="H48" s="162">
        <v>5</v>
      </c>
      <c r="I48" s="146"/>
      <c r="J48" s="260" t="s">
        <v>217</v>
      </c>
      <c r="K48" s="261"/>
      <c r="L48" s="261"/>
      <c r="M48" s="262"/>
      <c r="N48" s="146"/>
      <c r="O48" s="146"/>
    </row>
    <row r="49" ht="13.05" spans="1:15">
      <c r="A49" s="146"/>
      <c r="B49" s="186" t="s">
        <v>230</v>
      </c>
      <c r="C49" s="190">
        <v>15</v>
      </c>
      <c r="D49" s="191">
        <v>10000</v>
      </c>
      <c r="E49" s="192" t="s">
        <v>212</v>
      </c>
      <c r="F49" s="193" t="s">
        <v>183</v>
      </c>
      <c r="G49" s="180">
        <v>1</v>
      </c>
      <c r="H49" s="180">
        <v>5</v>
      </c>
      <c r="I49" s="146"/>
      <c r="J49" s="263" t="s">
        <v>231</v>
      </c>
      <c r="K49" s="264" t="s">
        <v>231</v>
      </c>
      <c r="L49" s="264" t="s">
        <v>163</v>
      </c>
      <c r="M49" s="265" t="s">
        <v>185</v>
      </c>
      <c r="N49" s="146"/>
      <c r="O49" s="146"/>
    </row>
    <row r="50" ht="13.05" spans="1:15">
      <c r="A50" s="146"/>
      <c r="B50" s="177" t="s">
        <v>232</v>
      </c>
      <c r="C50" s="178">
        <v>0</v>
      </c>
      <c r="D50" s="179">
        <v>3</v>
      </c>
      <c r="E50" s="192" t="s">
        <v>198</v>
      </c>
      <c r="F50" s="193" t="s">
        <v>183</v>
      </c>
      <c r="G50" s="180">
        <v>1</v>
      </c>
      <c r="H50" s="180">
        <v>5</v>
      </c>
      <c r="I50" s="146"/>
      <c r="J50" s="266" t="s">
        <v>233</v>
      </c>
      <c r="K50" s="267" t="s">
        <v>233</v>
      </c>
      <c r="L50" s="267" t="s">
        <v>233</v>
      </c>
      <c r="M50" s="268" t="s">
        <v>233</v>
      </c>
      <c r="N50" s="146"/>
      <c r="O50" s="146"/>
    </row>
    <row r="51" spans="1:15">
      <c r="A51" s="146"/>
      <c r="B51" s="164" t="s">
        <v>74</v>
      </c>
      <c r="C51" s="165"/>
      <c r="D51" s="165"/>
      <c r="E51" s="166"/>
      <c r="F51" s="166"/>
      <c r="G51" s="166"/>
      <c r="H51" s="166"/>
      <c r="I51" s="146"/>
      <c r="J51" s="269" t="s">
        <v>165</v>
      </c>
      <c r="K51" s="270" t="s">
        <v>188</v>
      </c>
      <c r="L51" s="270" t="s">
        <v>234</v>
      </c>
      <c r="M51" s="271" t="s">
        <v>234</v>
      </c>
      <c r="N51" s="146"/>
      <c r="O51" s="146"/>
    </row>
    <row r="52" ht="13.05" spans="1:15">
      <c r="A52" s="146"/>
      <c r="B52" s="170" t="s">
        <v>75</v>
      </c>
      <c r="C52" s="169">
        <v>51</v>
      </c>
      <c r="D52" s="169">
        <v>100</v>
      </c>
      <c r="E52" s="169" t="s">
        <v>203</v>
      </c>
      <c r="F52" s="169" t="s">
        <v>183</v>
      </c>
      <c r="G52" s="169">
        <v>0</v>
      </c>
      <c r="H52" s="169">
        <v>1</v>
      </c>
      <c r="I52" s="146"/>
      <c r="J52" s="272" t="s">
        <v>172</v>
      </c>
      <c r="K52" s="273" t="s">
        <v>172</v>
      </c>
      <c r="L52" s="273" t="s">
        <v>172</v>
      </c>
      <c r="M52" s="274" t="s">
        <v>172</v>
      </c>
      <c r="N52" s="146"/>
      <c r="O52" s="146"/>
    </row>
    <row r="53" ht="13.05" spans="1:15">
      <c r="A53" s="146"/>
      <c r="B53" s="183" t="s">
        <v>76</v>
      </c>
      <c r="C53" s="180">
        <v>0</v>
      </c>
      <c r="D53" s="194">
        <f>IF(HighPwrGrant="NONE",IF(BT="YES",0,1),0)</f>
        <v>1</v>
      </c>
      <c r="E53" s="162" t="s">
        <v>198</v>
      </c>
      <c r="F53" s="180" t="s">
        <v>183</v>
      </c>
      <c r="G53" s="180">
        <v>1</v>
      </c>
      <c r="H53" s="180">
        <v>1</v>
      </c>
      <c r="I53" s="146"/>
      <c r="J53" s="255">
        <v>0</v>
      </c>
      <c r="K53" s="189">
        <v>1</v>
      </c>
      <c r="L53" s="189">
        <v>1</v>
      </c>
      <c r="M53" s="256">
        <v>2</v>
      </c>
      <c r="N53" s="146"/>
      <c r="O53" s="146"/>
    </row>
    <row r="54" ht="13.05" spans="1:15">
      <c r="A54" s="146"/>
      <c r="B54" s="183" t="s">
        <v>77</v>
      </c>
      <c r="C54" s="180">
        <v>0</v>
      </c>
      <c r="D54" s="194">
        <f>IF(HighPwrGrant="NONE",IF(BT="YES",0,1),0)</f>
        <v>1</v>
      </c>
      <c r="E54" s="162" t="s">
        <v>198</v>
      </c>
      <c r="F54" s="180" t="s">
        <v>183</v>
      </c>
      <c r="G54" s="180">
        <v>1</v>
      </c>
      <c r="H54" s="180">
        <v>1</v>
      </c>
      <c r="I54" s="146"/>
      <c r="J54" s="272" t="s">
        <v>173</v>
      </c>
      <c r="K54" s="273" t="s">
        <v>173</v>
      </c>
      <c r="L54" s="273" t="s">
        <v>173</v>
      </c>
      <c r="M54" s="274" t="s">
        <v>173</v>
      </c>
      <c r="N54" s="146"/>
      <c r="O54" s="146"/>
    </row>
    <row r="55" ht="13.8" spans="1:15">
      <c r="A55" s="146"/>
      <c r="B55" s="183" t="s">
        <v>235</v>
      </c>
      <c r="C55" s="180">
        <v>5</v>
      </c>
      <c r="D55" s="180">
        <v>100</v>
      </c>
      <c r="E55" s="180" t="s">
        <v>203</v>
      </c>
      <c r="F55" s="180" t="s">
        <v>183</v>
      </c>
      <c r="G55" s="180">
        <v>1</v>
      </c>
      <c r="H55" s="180">
        <v>1</v>
      </c>
      <c r="I55" s="146"/>
      <c r="J55" s="275">
        <v>1</v>
      </c>
      <c r="K55" s="276">
        <v>1</v>
      </c>
      <c r="L55" s="277">
        <v>3</v>
      </c>
      <c r="M55" s="278">
        <v>3</v>
      </c>
      <c r="N55" s="146"/>
      <c r="O55" s="146"/>
    </row>
    <row r="56" ht="13.05" spans="1:15">
      <c r="A56" s="146"/>
      <c r="B56" s="183" t="s">
        <v>236</v>
      </c>
      <c r="C56" s="180">
        <v>0</v>
      </c>
      <c r="D56" s="180">
        <v>0</v>
      </c>
      <c r="E56" s="162" t="s">
        <v>198</v>
      </c>
      <c r="F56" s="180" t="s">
        <v>183</v>
      </c>
      <c r="G56" s="180">
        <v>1</v>
      </c>
      <c r="H56" s="180">
        <v>3</v>
      </c>
      <c r="I56" s="146"/>
      <c r="J56" s="260" t="s">
        <v>218</v>
      </c>
      <c r="K56" s="261"/>
      <c r="L56" s="261"/>
      <c r="M56" s="262"/>
      <c r="N56" s="146"/>
      <c r="O56" s="146"/>
    </row>
    <row r="57" ht="13.05" spans="1:15">
      <c r="A57" s="146"/>
      <c r="B57" s="183" t="s">
        <v>237</v>
      </c>
      <c r="C57" s="180">
        <v>15</v>
      </c>
      <c r="D57" s="180">
        <v>10000</v>
      </c>
      <c r="E57" s="180" t="s">
        <v>212</v>
      </c>
      <c r="F57" s="180" t="s">
        <v>183</v>
      </c>
      <c r="G57" s="180">
        <v>1</v>
      </c>
      <c r="H57" s="180">
        <v>1</v>
      </c>
      <c r="I57" s="146"/>
      <c r="J57" s="263" t="s">
        <v>231</v>
      </c>
      <c r="K57" s="264" t="s">
        <v>231</v>
      </c>
      <c r="L57" s="264" t="s">
        <v>163</v>
      </c>
      <c r="M57" s="265" t="s">
        <v>185</v>
      </c>
      <c r="N57" s="146"/>
      <c r="O57" s="146"/>
    </row>
    <row r="58" spans="1:15">
      <c r="A58" s="146"/>
      <c r="B58" s="164" t="s">
        <v>238</v>
      </c>
      <c r="C58" s="165"/>
      <c r="D58" s="165"/>
      <c r="E58" s="166"/>
      <c r="F58" s="166"/>
      <c r="G58" s="166"/>
      <c r="H58" s="166"/>
      <c r="I58" s="146"/>
      <c r="J58" s="266" t="s">
        <v>233</v>
      </c>
      <c r="K58" s="267" t="s">
        <v>233</v>
      </c>
      <c r="L58" s="267" t="s">
        <v>233</v>
      </c>
      <c r="M58" s="268" t="s">
        <v>233</v>
      </c>
      <c r="N58" s="146"/>
      <c r="O58" s="146"/>
    </row>
    <row r="59" ht="13.05" spans="1:15">
      <c r="A59" s="146"/>
      <c r="B59" s="170" t="s">
        <v>239</v>
      </c>
      <c r="C59" s="158">
        <v>0</v>
      </c>
      <c r="D59" s="158">
        <v>0</v>
      </c>
      <c r="E59" s="159" t="s">
        <v>240</v>
      </c>
      <c r="F59" s="159" t="s">
        <v>183</v>
      </c>
      <c r="G59" s="159">
        <v>0</v>
      </c>
      <c r="H59" s="159">
        <v>3</v>
      </c>
      <c r="I59" s="146"/>
      <c r="J59" s="269" t="s">
        <v>165</v>
      </c>
      <c r="K59" s="270" t="s">
        <v>188</v>
      </c>
      <c r="L59" s="270" t="s">
        <v>234</v>
      </c>
      <c r="M59" s="271" t="s">
        <v>234</v>
      </c>
      <c r="N59" s="146"/>
      <c r="O59" s="146"/>
    </row>
    <row r="60" ht="13.05" spans="1:15">
      <c r="A60" s="146"/>
      <c r="B60" s="195" t="s">
        <v>241</v>
      </c>
      <c r="C60" s="168">
        <v>0</v>
      </c>
      <c r="D60" s="168">
        <v>0</v>
      </c>
      <c r="E60" s="180" t="s">
        <v>240</v>
      </c>
      <c r="F60" s="159" t="s">
        <v>183</v>
      </c>
      <c r="G60" s="159">
        <v>0</v>
      </c>
      <c r="H60" s="159">
        <v>3</v>
      </c>
      <c r="I60" s="146"/>
      <c r="J60" s="272" t="s">
        <v>172</v>
      </c>
      <c r="K60" s="273" t="s">
        <v>172</v>
      </c>
      <c r="L60" s="273" t="s">
        <v>172</v>
      </c>
      <c r="M60" s="273" t="s">
        <v>172</v>
      </c>
      <c r="N60" s="146"/>
      <c r="O60" s="146"/>
    </row>
    <row r="61" ht="13.05" spans="1:15">
      <c r="A61" s="146"/>
      <c r="B61" s="195" t="s">
        <v>242</v>
      </c>
      <c r="C61" s="168">
        <v>0</v>
      </c>
      <c r="D61" s="168">
        <v>30</v>
      </c>
      <c r="E61" s="180" t="s">
        <v>243</v>
      </c>
      <c r="F61" s="159" t="s">
        <v>195</v>
      </c>
      <c r="G61" s="159">
        <v>1</v>
      </c>
      <c r="H61" s="159">
        <v>1</v>
      </c>
      <c r="I61" s="146"/>
      <c r="J61" s="255">
        <v>1</v>
      </c>
      <c r="K61" s="189">
        <v>1</v>
      </c>
      <c r="L61" s="189">
        <v>1</v>
      </c>
      <c r="M61" s="256">
        <v>2</v>
      </c>
      <c r="N61" s="146"/>
      <c r="O61" s="146"/>
    </row>
    <row r="62" ht="13.05" spans="1:15">
      <c r="A62" s="146"/>
      <c r="B62" s="195" t="s">
        <v>244</v>
      </c>
      <c r="C62" s="168">
        <v>1</v>
      </c>
      <c r="D62" s="168">
        <v>2</v>
      </c>
      <c r="E62" s="180" t="s">
        <v>240</v>
      </c>
      <c r="F62" s="159" t="s">
        <v>183</v>
      </c>
      <c r="G62" s="159">
        <v>0</v>
      </c>
      <c r="H62" s="159">
        <v>5</v>
      </c>
      <c r="I62" s="146"/>
      <c r="J62" s="272" t="s">
        <v>173</v>
      </c>
      <c r="K62" s="273" t="s">
        <v>173</v>
      </c>
      <c r="L62" s="273" t="s">
        <v>173</v>
      </c>
      <c r="M62" s="274" t="s">
        <v>173</v>
      </c>
      <c r="N62" s="146"/>
      <c r="O62" s="146"/>
    </row>
    <row r="63" ht="13.8" spans="1:15">
      <c r="A63" s="146"/>
      <c r="B63" s="195" t="s">
        <v>245</v>
      </c>
      <c r="C63" s="168">
        <v>0</v>
      </c>
      <c r="D63" s="168">
        <v>10</v>
      </c>
      <c r="E63" s="180" t="s">
        <v>243</v>
      </c>
      <c r="F63" s="159" t="s">
        <v>183</v>
      </c>
      <c r="G63" s="159">
        <v>1</v>
      </c>
      <c r="H63" s="159">
        <v>5</v>
      </c>
      <c r="I63" s="146"/>
      <c r="J63" s="275">
        <v>1</v>
      </c>
      <c r="K63" s="276">
        <v>1</v>
      </c>
      <c r="L63" s="277">
        <v>1</v>
      </c>
      <c r="M63" s="278">
        <v>3</v>
      </c>
      <c r="N63" s="146"/>
      <c r="O63" s="146"/>
    </row>
    <row r="64" ht="13.05" spans="1:15">
      <c r="A64" s="146"/>
      <c r="B64" s="195" t="s">
        <v>246</v>
      </c>
      <c r="C64" s="168">
        <v>8.1</v>
      </c>
      <c r="D64" s="168">
        <v>13</v>
      </c>
      <c r="E64" s="180" t="s">
        <v>247</v>
      </c>
      <c r="F64" s="159" t="s">
        <v>183</v>
      </c>
      <c r="G64" s="159">
        <v>1</v>
      </c>
      <c r="H64" s="159">
        <v>5</v>
      </c>
      <c r="I64" s="146"/>
      <c r="J64" s="24"/>
      <c r="K64" s="24"/>
      <c r="L64" s="24"/>
      <c r="M64" s="24"/>
      <c r="N64" s="146"/>
      <c r="O64" s="146"/>
    </row>
    <row r="65" ht="13.05" spans="1:15">
      <c r="A65" s="146"/>
      <c r="B65" s="195" t="s">
        <v>248</v>
      </c>
      <c r="C65" s="168">
        <v>0</v>
      </c>
      <c r="D65" s="168">
        <v>30</v>
      </c>
      <c r="E65" s="180" t="s">
        <v>243</v>
      </c>
      <c r="F65" s="159" t="s">
        <v>195</v>
      </c>
      <c r="G65" s="159">
        <v>1</v>
      </c>
      <c r="H65" s="159">
        <v>3</v>
      </c>
      <c r="I65" s="146"/>
      <c r="J65" s="24"/>
      <c r="K65" s="24"/>
      <c r="L65" s="24"/>
      <c r="M65" s="24"/>
      <c r="N65" s="146"/>
      <c r="O65" s="146"/>
    </row>
    <row r="66" ht="13.05" spans="1:15">
      <c r="A66" s="146"/>
      <c r="B66" s="195" t="s">
        <v>249</v>
      </c>
      <c r="C66" s="168">
        <v>13</v>
      </c>
      <c r="D66" s="168">
        <v>13</v>
      </c>
      <c r="E66" s="180" t="s">
        <v>247</v>
      </c>
      <c r="F66" s="159" t="s">
        <v>183</v>
      </c>
      <c r="G66" s="159">
        <v>1</v>
      </c>
      <c r="H66" s="159">
        <v>5</v>
      </c>
      <c r="I66" s="146"/>
      <c r="J66" s="24"/>
      <c r="K66" s="24"/>
      <c r="L66" s="24"/>
      <c r="M66" s="24"/>
      <c r="N66" s="146"/>
      <c r="O66" s="146"/>
    </row>
    <row r="67" ht="13.05" spans="1:15">
      <c r="A67" s="146"/>
      <c r="B67" s="195" t="s">
        <v>250</v>
      </c>
      <c r="C67" s="168">
        <v>0</v>
      </c>
      <c r="D67" s="168">
        <v>10</v>
      </c>
      <c r="E67" s="180" t="s">
        <v>243</v>
      </c>
      <c r="F67" s="159" t="s">
        <v>183</v>
      </c>
      <c r="G67" s="159">
        <v>1</v>
      </c>
      <c r="H67" s="159">
        <v>3</v>
      </c>
      <c r="I67" s="146"/>
      <c r="J67" s="24"/>
      <c r="K67" s="24"/>
      <c r="L67" s="24"/>
      <c r="M67" s="24"/>
      <c r="N67" s="146"/>
      <c r="O67" s="146"/>
    </row>
    <row r="68" ht="13.05" spans="1:15">
      <c r="A68" s="146"/>
      <c r="B68" s="195" t="s">
        <v>251</v>
      </c>
      <c r="C68" s="168">
        <v>0</v>
      </c>
      <c r="D68" s="168">
        <v>10</v>
      </c>
      <c r="E68" s="180" t="s">
        <v>243</v>
      </c>
      <c r="F68" s="159" t="s">
        <v>183</v>
      </c>
      <c r="G68" s="159">
        <v>1</v>
      </c>
      <c r="H68" s="159">
        <v>3</v>
      </c>
      <c r="I68" s="146"/>
      <c r="J68" s="24"/>
      <c r="K68" s="24"/>
      <c r="L68" s="24"/>
      <c r="M68" s="24"/>
      <c r="N68" s="146"/>
      <c r="O68" s="146"/>
    </row>
    <row r="69" ht="13.05" spans="1:15">
      <c r="A69" s="146"/>
      <c r="B69" s="195" t="s">
        <v>252</v>
      </c>
      <c r="C69" s="168">
        <v>2</v>
      </c>
      <c r="D69" s="168">
        <v>2</v>
      </c>
      <c r="E69" s="180" t="s">
        <v>240</v>
      </c>
      <c r="F69" s="159" t="s">
        <v>183</v>
      </c>
      <c r="G69" s="159">
        <v>0</v>
      </c>
      <c r="H69" s="159">
        <v>5</v>
      </c>
      <c r="I69" s="146"/>
      <c r="J69" s="24"/>
      <c r="K69" s="24"/>
      <c r="L69" s="24"/>
      <c r="M69" s="24"/>
      <c r="N69" s="146"/>
      <c r="O69" s="146"/>
    </row>
    <row r="70" ht="13.05" spans="1:15">
      <c r="A70" s="146"/>
      <c r="B70" s="195" t="s">
        <v>253</v>
      </c>
      <c r="C70" s="168">
        <v>0</v>
      </c>
      <c r="D70" s="168">
        <v>10</v>
      </c>
      <c r="E70" s="180" t="s">
        <v>243</v>
      </c>
      <c r="F70" s="159" t="s">
        <v>183</v>
      </c>
      <c r="G70" s="159">
        <v>1</v>
      </c>
      <c r="H70" s="159">
        <v>5</v>
      </c>
      <c r="I70" s="146"/>
      <c r="J70" s="24"/>
      <c r="K70" s="24"/>
      <c r="L70" s="24"/>
      <c r="M70" s="24"/>
      <c r="N70" s="146"/>
      <c r="O70" s="146"/>
    </row>
    <row r="71" ht="13.05" spans="1:15">
      <c r="A71" s="146"/>
      <c r="B71" s="195" t="s">
        <v>254</v>
      </c>
      <c r="C71" s="168">
        <v>20.3</v>
      </c>
      <c r="D71" s="168">
        <v>25.5</v>
      </c>
      <c r="E71" s="180" t="s">
        <v>247</v>
      </c>
      <c r="F71" s="159" t="s">
        <v>183</v>
      </c>
      <c r="G71" s="159">
        <v>1</v>
      </c>
      <c r="H71" s="159">
        <v>5</v>
      </c>
      <c r="I71" s="146"/>
      <c r="J71" s="24"/>
      <c r="K71" s="24"/>
      <c r="L71" s="24"/>
      <c r="M71" s="24"/>
      <c r="N71" s="146"/>
      <c r="O71" s="146"/>
    </row>
    <row r="72" ht="13.05" spans="1:15">
      <c r="A72" s="146"/>
      <c r="B72" s="195" t="s">
        <v>255</v>
      </c>
      <c r="C72" s="168">
        <v>0</v>
      </c>
      <c r="D72" s="168">
        <v>30</v>
      </c>
      <c r="E72" s="180" t="s">
        <v>243</v>
      </c>
      <c r="F72" s="159" t="s">
        <v>195</v>
      </c>
      <c r="G72" s="159">
        <v>1</v>
      </c>
      <c r="H72" s="159">
        <v>3</v>
      </c>
      <c r="I72" s="146"/>
      <c r="J72" s="24"/>
      <c r="K72" s="24"/>
      <c r="L72" s="24"/>
      <c r="M72" s="24"/>
      <c r="N72" s="146"/>
      <c r="O72" s="146"/>
    </row>
    <row r="73" ht="13.05" spans="1:15">
      <c r="A73" s="146"/>
      <c r="B73" s="195" t="s">
        <v>256</v>
      </c>
      <c r="C73" s="168">
        <v>25.5</v>
      </c>
      <c r="D73" s="168">
        <v>25.5</v>
      </c>
      <c r="E73" s="180" t="s">
        <v>247</v>
      </c>
      <c r="F73" s="159" t="s">
        <v>183</v>
      </c>
      <c r="G73" s="159">
        <v>1</v>
      </c>
      <c r="H73" s="159">
        <v>5</v>
      </c>
      <c r="I73" s="146"/>
      <c r="J73" s="24"/>
      <c r="K73" s="24"/>
      <c r="L73" s="24"/>
      <c r="M73" s="24"/>
      <c r="N73" s="146"/>
      <c r="O73" s="146"/>
    </row>
    <row r="74" ht="13.05" spans="1:15">
      <c r="A74" s="146"/>
      <c r="B74" s="195" t="s">
        <v>257</v>
      </c>
      <c r="C74" s="168">
        <v>0</v>
      </c>
      <c r="D74" s="168">
        <v>10</v>
      </c>
      <c r="E74" s="180" t="s">
        <v>243</v>
      </c>
      <c r="F74" s="159" t="s">
        <v>183</v>
      </c>
      <c r="G74" s="159">
        <v>1</v>
      </c>
      <c r="H74" s="159">
        <v>3</v>
      </c>
      <c r="I74" s="146"/>
      <c r="J74" s="24"/>
      <c r="K74" s="24"/>
      <c r="L74" s="24"/>
      <c r="M74" s="24"/>
      <c r="N74" s="146"/>
      <c r="O74" s="146"/>
    </row>
    <row r="75" ht="13.05" spans="1:15">
      <c r="A75" s="146"/>
      <c r="B75" s="195" t="s">
        <v>258</v>
      </c>
      <c r="C75" s="168">
        <v>0</v>
      </c>
      <c r="D75" s="168">
        <v>0</v>
      </c>
      <c r="E75" s="180" t="s">
        <v>240</v>
      </c>
      <c r="F75" s="159" t="s">
        <v>195</v>
      </c>
      <c r="G75" s="159">
        <v>0</v>
      </c>
      <c r="H75" s="159">
        <v>1</v>
      </c>
      <c r="I75" s="146"/>
      <c r="J75" s="24"/>
      <c r="K75" s="24"/>
      <c r="L75" s="24"/>
      <c r="M75" s="24"/>
      <c r="N75" s="146"/>
      <c r="O75" s="146"/>
    </row>
    <row r="76" ht="13.05" spans="1:15">
      <c r="A76" s="146"/>
      <c r="B76" s="186" t="s">
        <v>259</v>
      </c>
      <c r="C76" s="168">
        <v>1</v>
      </c>
      <c r="D76" s="168">
        <v>2</v>
      </c>
      <c r="E76" s="180" t="s">
        <v>240</v>
      </c>
      <c r="F76" s="159" t="str">
        <f>IF(ISBLANK(MinFwVer),"PF",IF(CODE(MinFwVer)&lt;52,"Warn","PF"))</f>
        <v>PF</v>
      </c>
      <c r="G76" s="159">
        <v>0</v>
      </c>
      <c r="H76" s="159">
        <v>1</v>
      </c>
      <c r="I76" s="146"/>
      <c r="J76" s="24"/>
      <c r="K76" s="24"/>
      <c r="L76" s="24"/>
      <c r="M76" s="24"/>
      <c r="N76" s="146"/>
      <c r="O76" s="146"/>
    </row>
    <row r="77" ht="13.05" spans="1:15">
      <c r="A77" s="146"/>
      <c r="B77" s="186" t="s">
        <v>260</v>
      </c>
      <c r="C77" s="168">
        <v>1</v>
      </c>
      <c r="D77" s="168">
        <v>2</v>
      </c>
      <c r="E77" s="180" t="s">
        <v>240</v>
      </c>
      <c r="F77" s="159" t="str">
        <f>IF(ISBLANK(MinFwVer),"PF",IF(CODE(MinFwVer)&lt;52,"Warn","PF"))</f>
        <v>PF</v>
      </c>
      <c r="G77" s="159">
        <v>0</v>
      </c>
      <c r="H77" s="159">
        <v>1</v>
      </c>
      <c r="I77" s="146"/>
      <c r="J77" s="24"/>
      <c r="K77" s="24"/>
      <c r="L77" s="24"/>
      <c r="M77" s="24"/>
      <c r="N77" s="146"/>
      <c r="O77" s="146"/>
    </row>
    <row r="78" ht="13.05" spans="1:15">
      <c r="A78" s="146"/>
      <c r="B78" s="186" t="s">
        <v>261</v>
      </c>
      <c r="C78" s="168">
        <v>1</v>
      </c>
      <c r="D78" s="168">
        <v>2</v>
      </c>
      <c r="E78" s="180" t="s">
        <v>240</v>
      </c>
      <c r="F78" s="159" t="str">
        <f>IF(ISBLANK(MinFwVer),"PF",IF(CODE(MinFwVer)&lt;52,"Warn","PF"))</f>
        <v>PF</v>
      </c>
      <c r="G78" s="159">
        <v>0</v>
      </c>
      <c r="H78" s="159">
        <v>1</v>
      </c>
      <c r="I78" s="146"/>
      <c r="J78" s="24"/>
      <c r="K78" s="24"/>
      <c r="L78" s="24"/>
      <c r="M78" s="24"/>
      <c r="N78" s="146"/>
      <c r="O78" s="146"/>
    </row>
    <row r="79" ht="13.05" spans="1:15">
      <c r="A79" s="146"/>
      <c r="B79" s="186" t="s">
        <v>262</v>
      </c>
      <c r="C79" s="168">
        <v>1</v>
      </c>
      <c r="D79" s="168">
        <v>2</v>
      </c>
      <c r="E79" s="180" t="s">
        <v>240</v>
      </c>
      <c r="F79" s="159" t="str">
        <f>IF(ISBLANK(MinFwVer),"PF",IF(CODE(MinFwVer)&lt;52,"Warn","PF"))</f>
        <v>PF</v>
      </c>
      <c r="G79" s="159">
        <v>0</v>
      </c>
      <c r="H79" s="159">
        <v>1</v>
      </c>
      <c r="I79" s="146"/>
      <c r="J79" s="24"/>
      <c r="K79" s="24"/>
      <c r="L79" s="24"/>
      <c r="M79" s="24"/>
      <c r="N79" s="146"/>
      <c r="O79" s="146"/>
    </row>
    <row r="80" spans="1:15">
      <c r="A80" s="146"/>
      <c r="B80" s="164" t="s">
        <v>263</v>
      </c>
      <c r="C80" s="165"/>
      <c r="D80" s="165"/>
      <c r="E80" s="166"/>
      <c r="F80" s="166"/>
      <c r="G80" s="166"/>
      <c r="H80" s="166"/>
      <c r="I80" s="146"/>
      <c r="J80" s="24"/>
      <c r="K80" s="24"/>
      <c r="L80" s="24"/>
      <c r="M80" s="24"/>
      <c r="N80" s="146"/>
      <c r="O80" s="146"/>
    </row>
    <row r="81" ht="13.05" spans="1:15">
      <c r="A81" s="146"/>
      <c r="B81" s="157" t="s">
        <v>79</v>
      </c>
      <c r="C81" s="158">
        <v>15</v>
      </c>
      <c r="D81" s="158">
        <v>50000</v>
      </c>
      <c r="E81" s="279" t="s">
        <v>264</v>
      </c>
      <c r="F81" s="159" t="s">
        <v>195</v>
      </c>
      <c r="G81" s="159">
        <v>0</v>
      </c>
      <c r="H81" s="159">
        <v>1</v>
      </c>
      <c r="I81" s="146"/>
      <c r="J81" s="24"/>
      <c r="K81" s="24"/>
      <c r="L81" s="24"/>
      <c r="M81" s="24"/>
      <c r="N81" s="146"/>
      <c r="O81" s="146"/>
    </row>
    <row r="82" ht="13.05" spans="1:15">
      <c r="A82" s="146"/>
      <c r="B82" s="160" t="s">
        <v>81</v>
      </c>
      <c r="C82" s="161">
        <v>0</v>
      </c>
      <c r="D82" s="161">
        <v>400</v>
      </c>
      <c r="E82" s="162" t="s">
        <v>212</v>
      </c>
      <c r="F82" s="159" t="s">
        <v>183</v>
      </c>
      <c r="G82" s="159">
        <v>1</v>
      </c>
      <c r="H82" s="159">
        <v>0</v>
      </c>
      <c r="I82" s="146"/>
      <c r="J82" s="24"/>
      <c r="K82" s="24"/>
      <c r="L82" s="24"/>
      <c r="M82" s="24"/>
      <c r="N82" s="146"/>
      <c r="O82" s="146"/>
    </row>
    <row r="83" spans="1:15">
      <c r="A83" s="146"/>
      <c r="B83" s="164" t="s">
        <v>265</v>
      </c>
      <c r="C83" s="165"/>
      <c r="D83" s="165"/>
      <c r="E83" s="166"/>
      <c r="F83" s="166"/>
      <c r="G83" s="166"/>
      <c r="H83" s="166"/>
      <c r="I83" s="146"/>
      <c r="J83" s="24"/>
      <c r="K83" s="24"/>
      <c r="L83" s="24"/>
      <c r="M83" s="24"/>
      <c r="N83" s="146"/>
      <c r="O83" s="146"/>
    </row>
    <row r="84" ht="13.05" spans="1:15">
      <c r="A84" s="146"/>
      <c r="B84" s="170" t="s">
        <v>83</v>
      </c>
      <c r="C84" s="280">
        <v>400</v>
      </c>
      <c r="D84" s="281">
        <v>450</v>
      </c>
      <c r="E84" s="171" t="s">
        <v>203</v>
      </c>
      <c r="F84" s="171" t="s">
        <v>183</v>
      </c>
      <c r="G84" s="171">
        <v>1</v>
      </c>
      <c r="H84" s="171">
        <v>3</v>
      </c>
      <c r="I84" s="146"/>
      <c r="J84" s="24"/>
      <c r="K84" s="24"/>
      <c r="L84" s="24"/>
      <c r="M84" s="24"/>
      <c r="N84" s="146"/>
      <c r="O84" s="146"/>
    </row>
    <row r="85" ht="13.05" spans="1:15">
      <c r="A85" s="146"/>
      <c r="B85" s="282" t="s">
        <v>84</v>
      </c>
      <c r="C85" s="280">
        <v>400</v>
      </c>
      <c r="D85" s="185">
        <v>450</v>
      </c>
      <c r="E85" s="175" t="s">
        <v>203</v>
      </c>
      <c r="F85" s="171" t="s">
        <v>183</v>
      </c>
      <c r="G85" s="171">
        <v>1</v>
      </c>
      <c r="H85" s="171">
        <v>3</v>
      </c>
      <c r="I85" s="146"/>
      <c r="J85" s="24"/>
      <c r="K85" s="24"/>
      <c r="L85" s="24"/>
      <c r="M85" s="24"/>
      <c r="N85" s="146"/>
      <c r="O85" s="146"/>
    </row>
    <row r="86" ht="13.05" spans="1:15">
      <c r="A86" s="146"/>
      <c r="B86" s="282" t="s">
        <v>266</v>
      </c>
      <c r="C86" s="280">
        <v>400</v>
      </c>
      <c r="D86" s="185">
        <v>450</v>
      </c>
      <c r="E86" s="175" t="s">
        <v>203</v>
      </c>
      <c r="F86" s="171" t="s">
        <v>183</v>
      </c>
      <c r="G86" s="171">
        <v>1</v>
      </c>
      <c r="H86" s="171">
        <v>3</v>
      </c>
      <c r="I86" s="146"/>
      <c r="J86" s="24"/>
      <c r="K86" s="24"/>
      <c r="L86" s="24"/>
      <c r="M86" s="24"/>
      <c r="N86" s="146"/>
      <c r="O86" s="146"/>
    </row>
    <row r="87" ht="13.05" spans="1:15">
      <c r="A87" s="146"/>
      <c r="B87" s="183" t="s">
        <v>85</v>
      </c>
      <c r="C87" s="280">
        <v>400</v>
      </c>
      <c r="D87" s="280">
        <v>450</v>
      </c>
      <c r="E87" s="175" t="s">
        <v>203</v>
      </c>
      <c r="F87" s="171" t="s">
        <v>183</v>
      </c>
      <c r="G87" s="171">
        <v>1</v>
      </c>
      <c r="H87" s="171">
        <v>5</v>
      </c>
      <c r="I87" s="146"/>
      <c r="J87" s="24"/>
      <c r="K87" s="24"/>
      <c r="L87" s="24"/>
      <c r="M87" s="24"/>
      <c r="N87" s="146"/>
      <c r="O87" s="146"/>
    </row>
    <row r="88" ht="13.05" spans="1:15">
      <c r="A88" s="146"/>
      <c r="B88" s="282" t="s">
        <v>86</v>
      </c>
      <c r="C88" s="280">
        <v>50</v>
      </c>
      <c r="D88" s="185">
        <v>75</v>
      </c>
      <c r="E88" s="283" t="s">
        <v>212</v>
      </c>
      <c r="F88" s="171" t="s">
        <v>183</v>
      </c>
      <c r="G88" s="171">
        <v>1</v>
      </c>
      <c r="H88" s="171">
        <v>5</v>
      </c>
      <c r="I88" s="146"/>
      <c r="J88" s="24"/>
      <c r="K88" s="24"/>
      <c r="L88" s="24"/>
      <c r="M88" s="24"/>
      <c r="N88" s="146"/>
      <c r="O88" s="146"/>
    </row>
    <row r="89" ht="13.05" spans="1:15">
      <c r="A89" s="146"/>
      <c r="B89" s="282" t="s">
        <v>87</v>
      </c>
      <c r="C89" s="284">
        <f>IF(HighPwrGrant="NONE",IF(BT="YES",50,44),50)</f>
        <v>44</v>
      </c>
      <c r="D89" s="161">
        <v>57</v>
      </c>
      <c r="E89" s="175" t="s">
        <v>182</v>
      </c>
      <c r="F89" s="175" t="s">
        <v>183</v>
      </c>
      <c r="G89" s="175">
        <v>1</v>
      </c>
      <c r="H89" s="175">
        <v>5</v>
      </c>
      <c r="I89" s="146"/>
      <c r="J89" s="24"/>
      <c r="K89" s="24"/>
      <c r="L89" s="24"/>
      <c r="M89" s="24"/>
      <c r="N89" s="146"/>
      <c r="O89" s="146"/>
    </row>
    <row r="90" ht="13.05" spans="1:15">
      <c r="A90" s="146"/>
      <c r="B90" s="282" t="s">
        <v>89</v>
      </c>
      <c r="C90" s="280">
        <v>30</v>
      </c>
      <c r="D90" s="185">
        <v>57</v>
      </c>
      <c r="E90" s="175" t="s">
        <v>182</v>
      </c>
      <c r="F90" s="175" t="s">
        <v>183</v>
      </c>
      <c r="G90" s="175">
        <v>1</v>
      </c>
      <c r="H90" s="175">
        <v>3</v>
      </c>
      <c r="I90" s="146"/>
      <c r="J90" s="24"/>
      <c r="K90" s="24"/>
      <c r="L90" s="24"/>
      <c r="M90" s="24"/>
      <c r="N90" s="24"/>
      <c r="O90" s="146"/>
    </row>
    <row r="91" ht="13.05" spans="1:15">
      <c r="A91" s="146"/>
      <c r="B91" s="282" t="s">
        <v>90</v>
      </c>
      <c r="C91" s="285">
        <v>0</v>
      </c>
      <c r="D91" s="285">
        <v>2000</v>
      </c>
      <c r="E91" s="286" t="s">
        <v>203</v>
      </c>
      <c r="F91" s="171" t="s">
        <v>195</v>
      </c>
      <c r="G91" s="171">
        <v>1</v>
      </c>
      <c r="H91" s="285">
        <v>1</v>
      </c>
      <c r="I91" s="146"/>
      <c r="J91" s="24"/>
      <c r="K91" s="24"/>
      <c r="L91" s="24"/>
      <c r="M91" s="24"/>
      <c r="N91" s="24"/>
      <c r="O91" s="146"/>
    </row>
    <row r="92" ht="13.05" spans="1:15">
      <c r="A92" s="146"/>
      <c r="B92" s="282" t="s">
        <v>91</v>
      </c>
      <c r="C92" s="285">
        <v>0</v>
      </c>
      <c r="D92" s="287">
        <f>IF(BT="YES",0,1)</f>
        <v>1</v>
      </c>
      <c r="E92" s="286" t="s">
        <v>198</v>
      </c>
      <c r="F92" s="171" t="s">
        <v>195</v>
      </c>
      <c r="G92" s="171">
        <v>0</v>
      </c>
      <c r="H92" s="285">
        <v>5</v>
      </c>
      <c r="I92" s="146"/>
      <c r="J92" s="24"/>
      <c r="K92" s="24"/>
      <c r="L92" s="24"/>
      <c r="M92" s="24"/>
      <c r="N92" s="24"/>
      <c r="O92" s="146"/>
    </row>
    <row r="93" ht="13.05" spans="1:15">
      <c r="A93" s="146"/>
      <c r="B93" s="282" t="s">
        <v>267</v>
      </c>
      <c r="C93" s="285">
        <v>0</v>
      </c>
      <c r="D93" s="287">
        <f>IF(BT="YES",0,1)</f>
        <v>1</v>
      </c>
      <c r="E93" s="286" t="s">
        <v>198</v>
      </c>
      <c r="F93" s="171" t="s">
        <v>195</v>
      </c>
      <c r="G93" s="171">
        <v>0</v>
      </c>
      <c r="H93" s="285">
        <v>1</v>
      </c>
      <c r="I93" s="146"/>
      <c r="J93" s="24"/>
      <c r="K93" s="24"/>
      <c r="L93" s="24"/>
      <c r="M93" s="24"/>
      <c r="N93" s="24"/>
      <c r="O93" s="146"/>
    </row>
    <row r="94" spans="1:15">
      <c r="A94" s="146"/>
      <c r="B94" s="164" t="s">
        <v>268</v>
      </c>
      <c r="C94" s="165"/>
      <c r="D94" s="165"/>
      <c r="E94" s="166"/>
      <c r="F94" s="166"/>
      <c r="G94" s="166"/>
      <c r="H94" s="166"/>
      <c r="I94" s="146"/>
      <c r="J94" s="24"/>
      <c r="K94" s="24"/>
      <c r="L94" s="24"/>
      <c r="M94" s="24"/>
      <c r="N94" s="24"/>
      <c r="O94" s="146"/>
    </row>
    <row r="95" ht="13.05" spans="1:15">
      <c r="A95" s="146"/>
      <c r="B95" s="170" t="s">
        <v>93</v>
      </c>
      <c r="C95" s="284">
        <f>IF(HighPwrGrant="NONE",IF(BT="YES",50,44),50)</f>
        <v>44</v>
      </c>
      <c r="D95" s="158">
        <v>57</v>
      </c>
      <c r="E95" s="159" t="s">
        <v>182</v>
      </c>
      <c r="F95" s="159" t="s">
        <v>183</v>
      </c>
      <c r="G95" s="159">
        <v>1</v>
      </c>
      <c r="H95" s="159">
        <v>5</v>
      </c>
      <c r="I95" s="146"/>
      <c r="J95" s="24"/>
      <c r="K95" s="24"/>
      <c r="L95" s="24"/>
      <c r="M95" s="24"/>
      <c r="N95" s="146"/>
      <c r="O95" s="146"/>
    </row>
    <row r="96" ht="13.05" spans="1:15">
      <c r="A96" s="146"/>
      <c r="B96" s="195" t="s">
        <v>95</v>
      </c>
      <c r="C96" s="284">
        <f>IF(HighPwrGrant="NONE",IF(BT="YES",50,44),50)</f>
        <v>44</v>
      </c>
      <c r="D96" s="168">
        <v>57</v>
      </c>
      <c r="E96" s="159" t="s">
        <v>182</v>
      </c>
      <c r="F96" s="159" t="s">
        <v>183</v>
      </c>
      <c r="G96" s="159">
        <v>1</v>
      </c>
      <c r="H96" s="159">
        <v>5</v>
      </c>
      <c r="I96" s="146"/>
      <c r="J96" s="24"/>
      <c r="K96" s="24"/>
      <c r="L96" s="24"/>
      <c r="M96" s="24"/>
      <c r="N96" s="146"/>
      <c r="O96" s="146"/>
    </row>
    <row r="97" ht="13.05" spans="1:15">
      <c r="A97" s="146"/>
      <c r="B97" s="195" t="s">
        <v>96</v>
      </c>
      <c r="C97" s="168">
        <v>0</v>
      </c>
      <c r="D97" s="168">
        <v>500</v>
      </c>
      <c r="E97" s="180" t="s">
        <v>269</v>
      </c>
      <c r="F97" s="159" t="s">
        <v>183</v>
      </c>
      <c r="G97" s="159">
        <v>1</v>
      </c>
      <c r="H97" s="159">
        <v>3</v>
      </c>
      <c r="I97" s="146"/>
      <c r="J97" s="24"/>
      <c r="K97" s="24"/>
      <c r="L97" s="24"/>
      <c r="M97" s="24"/>
      <c r="N97" s="146"/>
      <c r="O97" s="146"/>
    </row>
    <row r="98" ht="13.05" spans="1:15">
      <c r="A98" s="146"/>
      <c r="B98" s="195" t="s">
        <v>98</v>
      </c>
      <c r="C98" s="161">
        <v>0</v>
      </c>
      <c r="D98" s="161">
        <v>200</v>
      </c>
      <c r="E98" s="180" t="s">
        <v>269</v>
      </c>
      <c r="F98" s="159" t="s">
        <v>183</v>
      </c>
      <c r="G98" s="159">
        <v>1</v>
      </c>
      <c r="H98" s="159">
        <v>3</v>
      </c>
      <c r="I98" s="146"/>
      <c r="J98" s="24"/>
      <c r="K98" s="24"/>
      <c r="L98" s="24"/>
      <c r="M98" s="24"/>
      <c r="N98" s="146"/>
      <c r="O98" s="146"/>
    </row>
    <row r="99" ht="13.05" spans="1:15">
      <c r="A99" s="146"/>
      <c r="B99" s="195" t="s">
        <v>99</v>
      </c>
      <c r="C99" s="284">
        <f>IF(HighPwrGrant="NONE",IF(BT="YES",50,44),50)</f>
        <v>44</v>
      </c>
      <c r="D99" s="161">
        <v>57</v>
      </c>
      <c r="E99" s="162" t="s">
        <v>182</v>
      </c>
      <c r="F99" s="159" t="s">
        <v>183</v>
      </c>
      <c r="G99" s="159">
        <v>1</v>
      </c>
      <c r="H99" s="159">
        <v>5</v>
      </c>
      <c r="I99" s="146"/>
      <c r="J99" s="24"/>
      <c r="K99" s="24"/>
      <c r="L99" s="24"/>
      <c r="M99" s="24"/>
      <c r="N99" s="146"/>
      <c r="O99" s="146"/>
    </row>
    <row r="100" ht="13.05" spans="1:15">
      <c r="A100" s="146"/>
      <c r="B100" s="195" t="s">
        <v>100</v>
      </c>
      <c r="C100" s="284">
        <f>IF(HighPwrGrant="NONE",IF(BT="YES",50,44),50)</f>
        <v>44</v>
      </c>
      <c r="D100" s="161">
        <v>57</v>
      </c>
      <c r="E100" s="162" t="s">
        <v>182</v>
      </c>
      <c r="F100" s="159" t="s">
        <v>183</v>
      </c>
      <c r="G100" s="159">
        <v>1</v>
      </c>
      <c r="H100" s="159">
        <v>3</v>
      </c>
      <c r="I100" s="146"/>
      <c r="J100" s="24"/>
      <c r="K100" s="24"/>
      <c r="L100" s="24"/>
      <c r="M100" s="24"/>
      <c r="N100" s="146"/>
      <c r="O100" s="146"/>
    </row>
    <row r="101" ht="13.05" spans="1:15">
      <c r="A101" s="146"/>
      <c r="B101" s="195" t="s">
        <v>270</v>
      </c>
      <c r="C101" s="161">
        <v>50</v>
      </c>
      <c r="D101" s="161">
        <v>57</v>
      </c>
      <c r="E101" s="162" t="s">
        <v>182</v>
      </c>
      <c r="F101" s="159" t="s">
        <v>183</v>
      </c>
      <c r="G101" s="159">
        <v>1</v>
      </c>
      <c r="H101" s="159">
        <v>5</v>
      </c>
      <c r="I101" s="146"/>
      <c r="J101" s="24"/>
      <c r="K101" s="24"/>
      <c r="L101" s="24"/>
      <c r="M101" s="24"/>
      <c r="N101" s="146"/>
      <c r="O101" s="146"/>
    </row>
    <row r="102" ht="13.05" spans="1:15">
      <c r="A102" s="146"/>
      <c r="B102" s="195" t="s">
        <v>271</v>
      </c>
      <c r="C102" s="161">
        <v>50</v>
      </c>
      <c r="D102" s="161">
        <v>57</v>
      </c>
      <c r="E102" s="162" t="s">
        <v>182</v>
      </c>
      <c r="F102" s="159" t="s">
        <v>183</v>
      </c>
      <c r="G102" s="159">
        <v>1</v>
      </c>
      <c r="H102" s="159">
        <v>5</v>
      </c>
      <c r="I102" s="146"/>
      <c r="J102" s="24"/>
      <c r="K102" s="24"/>
      <c r="L102" s="24"/>
      <c r="M102" s="24"/>
      <c r="N102" s="146"/>
      <c r="O102" s="146"/>
    </row>
    <row r="103" ht="13.05" spans="1:15">
      <c r="A103" s="146"/>
      <c r="B103" s="195" t="s">
        <v>272</v>
      </c>
      <c r="C103" s="168">
        <v>0</v>
      </c>
      <c r="D103" s="161">
        <v>500</v>
      </c>
      <c r="E103" s="180" t="s">
        <v>269</v>
      </c>
      <c r="F103" s="159" t="s">
        <v>183</v>
      </c>
      <c r="G103" s="159">
        <v>1</v>
      </c>
      <c r="H103" s="159">
        <v>3</v>
      </c>
      <c r="I103" s="146"/>
      <c r="J103" s="24"/>
      <c r="K103" s="24"/>
      <c r="L103" s="24"/>
      <c r="M103" s="24"/>
      <c r="N103" s="146"/>
      <c r="O103" s="146"/>
    </row>
    <row r="104" ht="13.05" spans="1:15">
      <c r="A104" s="146"/>
      <c r="B104" s="195" t="s">
        <v>273</v>
      </c>
      <c r="C104" s="168">
        <v>0</v>
      </c>
      <c r="D104" s="161">
        <v>200</v>
      </c>
      <c r="E104" s="180" t="s">
        <v>269</v>
      </c>
      <c r="F104" s="159" t="s">
        <v>183</v>
      </c>
      <c r="G104" s="159">
        <v>1</v>
      </c>
      <c r="H104" s="159">
        <v>3</v>
      </c>
      <c r="I104" s="146"/>
      <c r="J104" s="24"/>
      <c r="K104" s="24"/>
      <c r="L104" s="24"/>
      <c r="M104" s="24"/>
      <c r="N104" s="146"/>
      <c r="O104" s="146"/>
    </row>
    <row r="105" ht="13.05" spans="1:15">
      <c r="A105" s="146"/>
      <c r="B105" s="195" t="s">
        <v>274</v>
      </c>
      <c r="C105" s="168">
        <v>50</v>
      </c>
      <c r="D105" s="161">
        <v>57</v>
      </c>
      <c r="E105" s="162" t="s">
        <v>182</v>
      </c>
      <c r="F105" s="159" t="s">
        <v>183</v>
      </c>
      <c r="G105" s="159">
        <v>1</v>
      </c>
      <c r="H105" s="159">
        <v>5</v>
      </c>
      <c r="I105" s="146"/>
      <c r="J105" s="24"/>
      <c r="K105" s="24"/>
      <c r="L105" s="24"/>
      <c r="M105" s="24"/>
      <c r="N105" s="146"/>
      <c r="O105" s="146"/>
    </row>
    <row r="106" ht="13.05" spans="1:15">
      <c r="A106" s="146"/>
      <c r="B106" s="195" t="s">
        <v>275</v>
      </c>
      <c r="C106" s="168">
        <v>50</v>
      </c>
      <c r="D106" s="168">
        <v>57</v>
      </c>
      <c r="E106" s="159" t="s">
        <v>182</v>
      </c>
      <c r="F106" s="159" t="s">
        <v>183</v>
      </c>
      <c r="G106" s="159">
        <v>1</v>
      </c>
      <c r="H106" s="159">
        <v>3</v>
      </c>
      <c r="I106" s="146"/>
      <c r="J106" s="24"/>
      <c r="K106" s="24"/>
      <c r="L106" s="24"/>
      <c r="M106" s="24"/>
      <c r="N106" s="146"/>
      <c r="O106" s="146"/>
    </row>
    <row r="107" spans="1:15">
      <c r="A107" s="146"/>
      <c r="B107" s="164" t="s">
        <v>276</v>
      </c>
      <c r="C107" s="165"/>
      <c r="D107" s="165"/>
      <c r="E107" s="166"/>
      <c r="F107" s="166"/>
      <c r="G107" s="166"/>
      <c r="H107" s="166"/>
      <c r="I107" s="146"/>
      <c r="J107" s="24"/>
      <c r="K107" s="24"/>
      <c r="L107" s="24"/>
      <c r="M107" s="24"/>
      <c r="N107" s="146"/>
      <c r="O107" s="146"/>
    </row>
    <row r="108" ht="13.05" spans="1:15">
      <c r="A108" s="146"/>
      <c r="B108" s="170" t="s">
        <v>102</v>
      </c>
      <c r="C108" s="158">
        <v>14.2</v>
      </c>
      <c r="D108" s="158">
        <v>22.7</v>
      </c>
      <c r="E108" s="159" t="s">
        <v>247</v>
      </c>
      <c r="F108" s="159" t="s">
        <v>183</v>
      </c>
      <c r="G108" s="159">
        <v>1</v>
      </c>
      <c r="H108" s="159">
        <v>1</v>
      </c>
      <c r="I108" s="146"/>
      <c r="J108" s="24"/>
      <c r="K108" s="24"/>
      <c r="L108" s="24"/>
      <c r="M108" s="24"/>
      <c r="N108" s="146"/>
      <c r="O108" s="146"/>
    </row>
    <row r="109" ht="13.05" spans="1:15">
      <c r="A109" s="146"/>
      <c r="B109" s="183" t="s">
        <v>104</v>
      </c>
      <c r="C109" s="175">
        <v>100</v>
      </c>
      <c r="D109" s="175">
        <v>9999</v>
      </c>
      <c r="E109" s="162" t="s">
        <v>277</v>
      </c>
      <c r="F109" s="159" t="s">
        <v>183</v>
      </c>
      <c r="G109" s="159">
        <v>1</v>
      </c>
      <c r="H109" s="159">
        <v>5</v>
      </c>
      <c r="I109" s="146"/>
      <c r="J109" s="24"/>
      <c r="K109" s="24"/>
      <c r="L109" s="24"/>
      <c r="M109" s="24"/>
      <c r="N109" s="146"/>
      <c r="O109" s="146"/>
    </row>
    <row r="110" ht="13.05" spans="1:15">
      <c r="A110" s="146"/>
      <c r="B110" s="170" t="s">
        <v>106</v>
      </c>
      <c r="C110" s="161">
        <v>3.9</v>
      </c>
      <c r="D110" s="161">
        <v>22.7</v>
      </c>
      <c r="E110" s="159" t="s">
        <v>247</v>
      </c>
      <c r="F110" s="159" t="s">
        <v>183</v>
      </c>
      <c r="G110" s="159">
        <v>1</v>
      </c>
      <c r="H110" s="159">
        <v>1</v>
      </c>
      <c r="I110" s="146"/>
      <c r="J110" s="24"/>
      <c r="K110" s="24"/>
      <c r="L110" s="24"/>
      <c r="M110" s="24"/>
      <c r="N110" s="146"/>
      <c r="O110" s="146"/>
    </row>
    <row r="111" ht="13.05" spans="1:15">
      <c r="A111" s="146"/>
      <c r="B111" s="183" t="s">
        <v>107</v>
      </c>
      <c r="C111" s="175">
        <v>100</v>
      </c>
      <c r="D111" s="175">
        <v>9999</v>
      </c>
      <c r="E111" s="162" t="s">
        <v>277</v>
      </c>
      <c r="F111" s="159" t="s">
        <v>183</v>
      </c>
      <c r="G111" s="159">
        <v>1</v>
      </c>
      <c r="H111" s="159">
        <v>5</v>
      </c>
      <c r="I111" s="146"/>
      <c r="J111" s="24"/>
      <c r="K111" s="24"/>
      <c r="L111" s="24"/>
      <c r="M111" s="24"/>
      <c r="N111" s="146"/>
      <c r="O111" s="146"/>
    </row>
    <row r="112" ht="13.05" spans="1:15">
      <c r="A112" s="146"/>
      <c r="B112" s="170" t="s">
        <v>108</v>
      </c>
      <c r="C112" s="161">
        <v>6.8</v>
      </c>
      <c r="D112" s="161">
        <v>22.7</v>
      </c>
      <c r="E112" s="159" t="s">
        <v>247</v>
      </c>
      <c r="F112" s="159" t="s">
        <v>183</v>
      </c>
      <c r="G112" s="159">
        <v>1</v>
      </c>
      <c r="H112" s="159">
        <v>1</v>
      </c>
      <c r="I112" s="146"/>
      <c r="J112" s="24"/>
      <c r="K112" s="24"/>
      <c r="L112" s="24"/>
      <c r="M112" s="24"/>
      <c r="N112" s="146"/>
      <c r="O112" s="146"/>
    </row>
    <row r="113" ht="13.05" spans="1:15">
      <c r="A113" s="146"/>
      <c r="B113" s="183" t="s">
        <v>109</v>
      </c>
      <c r="C113" s="175">
        <v>100</v>
      </c>
      <c r="D113" s="175">
        <v>9999</v>
      </c>
      <c r="E113" s="162" t="s">
        <v>277</v>
      </c>
      <c r="F113" s="159" t="s">
        <v>183</v>
      </c>
      <c r="G113" s="159">
        <v>1</v>
      </c>
      <c r="H113" s="159">
        <v>5</v>
      </c>
      <c r="I113" s="146"/>
      <c r="J113" s="24"/>
      <c r="K113" s="24"/>
      <c r="L113" s="24"/>
      <c r="M113" s="24"/>
      <c r="N113" s="146"/>
      <c r="O113" s="146"/>
    </row>
    <row r="114" ht="13.05" spans="1:15">
      <c r="A114" s="146"/>
      <c r="B114" s="170" t="s">
        <v>110</v>
      </c>
      <c r="C114" s="161">
        <v>14.2</v>
      </c>
      <c r="D114" s="161">
        <v>22.7</v>
      </c>
      <c r="E114" s="159" t="s">
        <v>247</v>
      </c>
      <c r="F114" s="159" t="s">
        <v>183</v>
      </c>
      <c r="G114" s="159">
        <v>1</v>
      </c>
      <c r="H114" s="159">
        <v>1</v>
      </c>
      <c r="I114" s="146"/>
      <c r="J114" s="24"/>
      <c r="K114" s="24"/>
      <c r="L114" s="24"/>
      <c r="M114" s="24"/>
      <c r="N114" s="146"/>
      <c r="O114" s="146"/>
    </row>
    <row r="115" ht="13.05" spans="1:15">
      <c r="A115" s="146"/>
      <c r="B115" s="183" t="s">
        <v>111</v>
      </c>
      <c r="C115" s="175">
        <v>100</v>
      </c>
      <c r="D115" s="175">
        <v>9999</v>
      </c>
      <c r="E115" s="162" t="s">
        <v>277</v>
      </c>
      <c r="F115" s="159" t="s">
        <v>183</v>
      </c>
      <c r="G115" s="159">
        <v>1</v>
      </c>
      <c r="H115" s="159">
        <v>5</v>
      </c>
      <c r="I115" s="146"/>
      <c r="J115" s="24"/>
      <c r="K115" s="24"/>
      <c r="L115" s="24"/>
      <c r="M115" s="24"/>
      <c r="N115" s="146"/>
      <c r="O115" s="146"/>
    </row>
    <row r="116" ht="13.05" spans="1:15">
      <c r="A116" s="146"/>
      <c r="B116" s="170" t="s">
        <v>278</v>
      </c>
      <c r="C116" s="161">
        <v>28.7</v>
      </c>
      <c r="D116" s="161">
        <v>38.9</v>
      </c>
      <c r="E116" s="159" t="s">
        <v>247</v>
      </c>
      <c r="F116" s="159" t="s">
        <v>183</v>
      </c>
      <c r="G116" s="159">
        <v>1</v>
      </c>
      <c r="H116" s="159">
        <v>1</v>
      </c>
      <c r="I116" s="146"/>
      <c r="J116" s="24"/>
      <c r="K116" s="24"/>
      <c r="L116" s="24"/>
      <c r="M116" s="24"/>
      <c r="N116" s="146"/>
      <c r="O116" s="146"/>
    </row>
    <row r="117" ht="13.05" spans="1:15">
      <c r="A117" s="146"/>
      <c r="B117" s="183" t="s">
        <v>279</v>
      </c>
      <c r="C117" s="175">
        <v>100</v>
      </c>
      <c r="D117" s="175">
        <v>9999</v>
      </c>
      <c r="E117" s="162" t="s">
        <v>277</v>
      </c>
      <c r="F117" s="162" t="s">
        <v>183</v>
      </c>
      <c r="G117" s="162">
        <v>1</v>
      </c>
      <c r="H117" s="162">
        <v>5</v>
      </c>
      <c r="I117" s="146"/>
      <c r="J117" s="24"/>
      <c r="K117" s="24"/>
      <c r="L117" s="24"/>
      <c r="M117" s="24"/>
      <c r="N117" s="146"/>
      <c r="O117" s="146"/>
    </row>
    <row r="118" ht="13.05" spans="1:15">
      <c r="A118" s="146"/>
      <c r="B118" s="183" t="s">
        <v>280</v>
      </c>
      <c r="C118" s="288">
        <f>IF(LEFT(HighPwrGrant,3)="PHY",1,0)</f>
        <v>0</v>
      </c>
      <c r="D118" s="288">
        <f>IF(LEFT(HighPwrGrant,3)="PHY",1,0)</f>
        <v>0</v>
      </c>
      <c r="E118" s="364" t="s">
        <v>198</v>
      </c>
      <c r="F118" s="159" t="s">
        <v>183</v>
      </c>
      <c r="G118" s="159">
        <v>0</v>
      </c>
      <c r="H118" s="159">
        <v>5</v>
      </c>
      <c r="I118" s="146"/>
      <c r="J118" s="24"/>
      <c r="K118" s="24"/>
      <c r="L118" s="24"/>
      <c r="M118" s="24"/>
      <c r="N118" s="146"/>
      <c r="O118" s="146"/>
    </row>
    <row r="119" ht="13.05" spans="1:15">
      <c r="A119" s="146"/>
      <c r="B119" s="195" t="s">
        <v>281</v>
      </c>
      <c r="C119" s="161">
        <v>1</v>
      </c>
      <c r="D119" s="161">
        <v>1</v>
      </c>
      <c r="E119" s="364" t="s">
        <v>198</v>
      </c>
      <c r="F119" s="159" t="s">
        <v>183</v>
      </c>
      <c r="G119" s="159">
        <v>0</v>
      </c>
      <c r="H119" s="159">
        <v>5</v>
      </c>
      <c r="I119" s="146"/>
      <c r="J119" s="24"/>
      <c r="K119" s="24"/>
      <c r="L119" s="24"/>
      <c r="M119" s="24"/>
      <c r="N119" s="146"/>
      <c r="O119" s="146"/>
    </row>
    <row r="120" ht="13.05" spans="1:15">
      <c r="A120" s="146"/>
      <c r="B120" s="195" t="s">
        <v>282</v>
      </c>
      <c r="C120" s="175">
        <v>1</v>
      </c>
      <c r="D120" s="175">
        <v>1</v>
      </c>
      <c r="E120" s="364" t="s">
        <v>198</v>
      </c>
      <c r="F120" s="159" t="s">
        <v>183</v>
      </c>
      <c r="G120" s="162">
        <v>0</v>
      </c>
      <c r="H120" s="162">
        <v>5</v>
      </c>
      <c r="I120" s="146"/>
      <c r="J120" s="24"/>
      <c r="K120" s="24"/>
      <c r="L120" s="24"/>
      <c r="M120" s="24"/>
      <c r="N120" s="146"/>
      <c r="O120" s="146"/>
    </row>
    <row r="121" spans="1:15">
      <c r="A121" s="146"/>
      <c r="B121" s="164" t="s">
        <v>283</v>
      </c>
      <c r="C121" s="165"/>
      <c r="D121" s="165"/>
      <c r="E121" s="166"/>
      <c r="F121" s="166"/>
      <c r="G121" s="166"/>
      <c r="H121" s="166"/>
      <c r="I121" s="146"/>
      <c r="J121" s="24"/>
      <c r="K121" s="24"/>
      <c r="L121" s="24"/>
      <c r="M121" s="24"/>
      <c r="N121" s="146"/>
      <c r="O121" s="146"/>
    </row>
    <row r="122" ht="13.05" spans="1:15">
      <c r="A122" s="146"/>
      <c r="B122" s="170" t="s">
        <v>113</v>
      </c>
      <c r="C122" s="158">
        <v>0</v>
      </c>
      <c r="D122" s="158">
        <v>1750</v>
      </c>
      <c r="E122" s="159" t="s">
        <v>203</v>
      </c>
      <c r="F122" s="169" t="s">
        <v>183</v>
      </c>
      <c r="G122" s="169">
        <v>1</v>
      </c>
      <c r="H122" s="169">
        <v>3</v>
      </c>
      <c r="I122" s="146"/>
      <c r="J122" s="24"/>
      <c r="K122" s="24"/>
      <c r="L122" s="24"/>
      <c r="M122" s="24"/>
      <c r="N122" s="146"/>
      <c r="O122" s="146"/>
    </row>
    <row r="123" ht="13.05" spans="1:15">
      <c r="A123" s="146"/>
      <c r="B123" s="195" t="s">
        <v>114</v>
      </c>
      <c r="C123" s="168">
        <v>400</v>
      </c>
      <c r="D123" s="161">
        <v>1750</v>
      </c>
      <c r="E123" s="180" t="s">
        <v>203</v>
      </c>
      <c r="F123" s="180" t="s">
        <v>183</v>
      </c>
      <c r="G123" s="180">
        <v>1</v>
      </c>
      <c r="H123" s="168">
        <v>5</v>
      </c>
      <c r="I123" s="146"/>
      <c r="J123" s="24"/>
      <c r="K123" s="24"/>
      <c r="L123" s="24"/>
      <c r="M123" s="24"/>
      <c r="N123" s="146"/>
      <c r="O123" s="146"/>
    </row>
    <row r="124" ht="13.05" spans="1:15">
      <c r="A124" s="146"/>
      <c r="B124" s="195" t="s">
        <v>115</v>
      </c>
      <c r="C124" s="161">
        <v>50</v>
      </c>
      <c r="D124" s="288">
        <f>IF(HighPwrGrant="NONE",75,9999)</f>
        <v>75</v>
      </c>
      <c r="E124" s="180" t="s">
        <v>212</v>
      </c>
      <c r="F124" s="180" t="s">
        <v>183</v>
      </c>
      <c r="G124" s="180">
        <v>1</v>
      </c>
      <c r="H124" s="168">
        <v>3</v>
      </c>
      <c r="I124" s="146"/>
      <c r="J124" s="24"/>
      <c r="K124" s="24"/>
      <c r="L124" s="24"/>
      <c r="M124" s="24"/>
      <c r="N124" s="146"/>
      <c r="O124" s="146"/>
    </row>
    <row r="125" ht="13.05" spans="1:15">
      <c r="A125" s="146"/>
      <c r="B125" s="186" t="s">
        <v>284</v>
      </c>
      <c r="C125" s="158">
        <v>10</v>
      </c>
      <c r="D125" s="178">
        <v>9999</v>
      </c>
      <c r="E125" s="193" t="s">
        <v>212</v>
      </c>
      <c r="F125" s="193" t="s">
        <v>183</v>
      </c>
      <c r="G125" s="180">
        <v>1</v>
      </c>
      <c r="H125" s="168">
        <v>3</v>
      </c>
      <c r="I125" s="146"/>
      <c r="J125" s="24"/>
      <c r="K125" s="24"/>
      <c r="L125" s="24"/>
      <c r="M125" s="24"/>
      <c r="N125" s="146"/>
      <c r="O125" s="146"/>
    </row>
    <row r="126" ht="13.05" spans="1:15">
      <c r="A126" s="146"/>
      <c r="B126" s="186" t="s">
        <v>285</v>
      </c>
      <c r="C126" s="158">
        <v>0</v>
      </c>
      <c r="D126" s="178">
        <v>75</v>
      </c>
      <c r="E126" s="193" t="s">
        <v>212</v>
      </c>
      <c r="F126" s="193" t="s">
        <v>183</v>
      </c>
      <c r="G126" s="180">
        <v>1</v>
      </c>
      <c r="H126" s="168">
        <v>3</v>
      </c>
      <c r="I126" s="146"/>
      <c r="J126" s="24"/>
      <c r="K126" s="24"/>
      <c r="L126" s="24"/>
      <c r="M126" s="24"/>
      <c r="N126" s="146"/>
      <c r="O126" s="146"/>
    </row>
    <row r="127" ht="13.05" spans="1:15">
      <c r="A127" s="146"/>
      <c r="B127" s="195" t="s">
        <v>116</v>
      </c>
      <c r="C127" s="284">
        <f>IF(HighPwrGrant="NONE",IF(BT="YES",50,44),50)</f>
        <v>44</v>
      </c>
      <c r="D127" s="168">
        <v>57</v>
      </c>
      <c r="E127" s="180" t="s">
        <v>182</v>
      </c>
      <c r="F127" s="180" t="s">
        <v>183</v>
      </c>
      <c r="G127" s="180">
        <v>1</v>
      </c>
      <c r="H127" s="168">
        <v>5</v>
      </c>
      <c r="I127" s="146"/>
      <c r="J127" s="24"/>
      <c r="K127" s="24"/>
      <c r="L127" s="24"/>
      <c r="M127" s="24"/>
      <c r="N127" s="146"/>
      <c r="O127" s="146"/>
    </row>
    <row r="128" ht="13.05" spans="1:15">
      <c r="A128" s="146"/>
      <c r="B128" s="195" t="s">
        <v>117</v>
      </c>
      <c r="C128" s="168">
        <v>0</v>
      </c>
      <c r="D128" s="168">
        <v>1750</v>
      </c>
      <c r="E128" s="180" t="s">
        <v>203</v>
      </c>
      <c r="F128" s="180" t="s">
        <v>195</v>
      </c>
      <c r="G128" s="180">
        <v>1</v>
      </c>
      <c r="H128" s="168">
        <v>1</v>
      </c>
      <c r="I128" s="146"/>
      <c r="J128" s="24"/>
      <c r="K128" s="24"/>
      <c r="L128" s="24"/>
      <c r="M128" s="24"/>
      <c r="N128" s="146"/>
      <c r="O128" s="146"/>
    </row>
    <row r="129" ht="13.05" spans="1:15">
      <c r="A129" s="146"/>
      <c r="B129" s="195" t="s">
        <v>118</v>
      </c>
      <c r="C129" s="168">
        <v>50</v>
      </c>
      <c r="D129" s="168">
        <v>9999</v>
      </c>
      <c r="E129" s="180" t="s">
        <v>212</v>
      </c>
      <c r="F129" s="180" t="s">
        <v>195</v>
      </c>
      <c r="G129" s="180">
        <v>1</v>
      </c>
      <c r="H129" s="168">
        <v>1</v>
      </c>
      <c r="I129" s="146"/>
      <c r="J129" s="24"/>
      <c r="K129" s="24"/>
      <c r="L129" s="24"/>
      <c r="M129" s="24"/>
      <c r="N129" s="146"/>
      <c r="O129" s="146"/>
    </row>
    <row r="130" ht="13.05" spans="1:15">
      <c r="A130" s="146"/>
      <c r="B130" s="195" t="s">
        <v>286</v>
      </c>
      <c r="C130" s="168">
        <v>683</v>
      </c>
      <c r="D130" s="168">
        <v>1750</v>
      </c>
      <c r="E130" s="180" t="s">
        <v>203</v>
      </c>
      <c r="F130" s="180" t="s">
        <v>183</v>
      </c>
      <c r="G130" s="180">
        <v>1</v>
      </c>
      <c r="H130" s="168">
        <v>5</v>
      </c>
      <c r="I130" s="146"/>
      <c r="J130" s="24"/>
      <c r="K130" s="24"/>
      <c r="L130" s="24"/>
      <c r="M130" s="24"/>
      <c r="N130" s="146"/>
      <c r="O130" s="146"/>
    </row>
    <row r="131" ht="13.05" spans="1:15">
      <c r="A131" s="146"/>
      <c r="B131" s="195" t="s">
        <v>287</v>
      </c>
      <c r="C131" s="161">
        <v>10</v>
      </c>
      <c r="D131" s="168">
        <v>75</v>
      </c>
      <c r="E131" s="180" t="s">
        <v>212</v>
      </c>
      <c r="F131" s="180" t="s">
        <v>183</v>
      </c>
      <c r="G131" s="180">
        <v>1</v>
      </c>
      <c r="H131" s="168">
        <v>3</v>
      </c>
      <c r="I131" s="146"/>
      <c r="J131" s="24"/>
      <c r="K131" s="24"/>
      <c r="L131" s="24"/>
      <c r="M131" s="24"/>
      <c r="N131" s="146"/>
      <c r="O131" s="146"/>
    </row>
    <row r="132" ht="13.05" spans="1:15">
      <c r="A132" s="146"/>
      <c r="B132" s="186" t="s">
        <v>288</v>
      </c>
      <c r="C132" s="161">
        <v>10</v>
      </c>
      <c r="D132" s="178">
        <v>9999</v>
      </c>
      <c r="E132" s="193" t="s">
        <v>212</v>
      </c>
      <c r="F132" s="193" t="s">
        <v>183</v>
      </c>
      <c r="G132" s="180">
        <v>1</v>
      </c>
      <c r="H132" s="168">
        <v>3</v>
      </c>
      <c r="I132" s="146"/>
      <c r="J132" s="24"/>
      <c r="K132" s="24"/>
      <c r="L132" s="24"/>
      <c r="M132" s="24"/>
      <c r="N132" s="146"/>
      <c r="O132" s="146"/>
    </row>
    <row r="133" ht="13.05" spans="1:15">
      <c r="A133" s="146"/>
      <c r="B133" s="186" t="s">
        <v>289</v>
      </c>
      <c r="C133" s="158">
        <v>0</v>
      </c>
      <c r="D133" s="178">
        <v>75</v>
      </c>
      <c r="E133" s="193" t="s">
        <v>212</v>
      </c>
      <c r="F133" s="193" t="s">
        <v>183</v>
      </c>
      <c r="G133" s="180">
        <v>1</v>
      </c>
      <c r="H133" s="168">
        <v>3</v>
      </c>
      <c r="I133" s="146"/>
      <c r="J133" s="24"/>
      <c r="K133" s="24"/>
      <c r="L133" s="24"/>
      <c r="M133" s="24"/>
      <c r="N133" s="146"/>
      <c r="O133" s="146"/>
    </row>
    <row r="134" ht="13.05" spans="1:15">
      <c r="A134" s="146"/>
      <c r="B134" s="195" t="s">
        <v>290</v>
      </c>
      <c r="C134" s="168">
        <v>50</v>
      </c>
      <c r="D134" s="168">
        <v>57</v>
      </c>
      <c r="E134" s="180" t="s">
        <v>182</v>
      </c>
      <c r="F134" s="180" t="s">
        <v>183</v>
      </c>
      <c r="G134" s="180">
        <v>1</v>
      </c>
      <c r="H134" s="168">
        <v>5</v>
      </c>
      <c r="I134" s="146"/>
      <c r="J134" s="24"/>
      <c r="K134" s="24"/>
      <c r="L134" s="24"/>
      <c r="M134" s="24"/>
      <c r="N134" s="146"/>
      <c r="O134" s="146"/>
    </row>
    <row r="135" ht="13.05" spans="1:15">
      <c r="A135" s="146"/>
      <c r="B135" s="195" t="s">
        <v>291</v>
      </c>
      <c r="C135" s="168">
        <v>0</v>
      </c>
      <c r="D135" s="168">
        <v>1750</v>
      </c>
      <c r="E135" s="180" t="s">
        <v>203</v>
      </c>
      <c r="F135" s="180" t="s">
        <v>195</v>
      </c>
      <c r="G135" s="180">
        <v>1</v>
      </c>
      <c r="H135" s="168">
        <v>1</v>
      </c>
      <c r="I135" s="146"/>
      <c r="J135" s="24"/>
      <c r="K135" s="24"/>
      <c r="L135" s="24"/>
      <c r="M135" s="24"/>
      <c r="N135" s="146"/>
      <c r="O135" s="146"/>
    </row>
    <row r="136" ht="13.05" spans="1:15">
      <c r="A136" s="146"/>
      <c r="B136" s="195" t="s">
        <v>292</v>
      </c>
      <c r="C136" s="161">
        <v>10</v>
      </c>
      <c r="D136" s="168">
        <v>9999</v>
      </c>
      <c r="E136" s="180" t="s">
        <v>212</v>
      </c>
      <c r="F136" s="180" t="s">
        <v>195</v>
      </c>
      <c r="G136" s="180">
        <v>1</v>
      </c>
      <c r="H136" s="168">
        <v>1</v>
      </c>
      <c r="I136" s="146"/>
      <c r="J136" s="24"/>
      <c r="K136" s="24"/>
      <c r="L136" s="24"/>
      <c r="M136" s="24"/>
      <c r="N136" s="146"/>
      <c r="O136" s="146"/>
    </row>
    <row r="137" ht="13.05" spans="1:15">
      <c r="A137" s="146"/>
      <c r="B137" s="195" t="s">
        <v>119</v>
      </c>
      <c r="C137" s="289">
        <f>IF(HighPwrGrant="NONE",IF(BT="YES",92.4,-1),92.4)</f>
        <v>-1</v>
      </c>
      <c r="D137" s="289">
        <f>IF(HighPwrGrant="NONE",IF(BT="YES",115,-1),115)</f>
        <v>-1</v>
      </c>
      <c r="E137" s="180" t="s">
        <v>277</v>
      </c>
      <c r="F137" s="180" t="s">
        <v>183</v>
      </c>
      <c r="G137" s="180">
        <v>1</v>
      </c>
      <c r="H137" s="168">
        <v>3</v>
      </c>
      <c r="I137" s="146"/>
      <c r="J137" s="24"/>
      <c r="K137" s="24"/>
      <c r="L137" s="24"/>
      <c r="M137" s="24"/>
      <c r="N137" s="146"/>
      <c r="O137" s="146"/>
    </row>
    <row r="138" ht="13.05" spans="1:15">
      <c r="A138" s="146"/>
      <c r="B138" s="195" t="s">
        <v>293</v>
      </c>
      <c r="C138" s="168">
        <v>92.4</v>
      </c>
      <c r="D138" s="168">
        <v>115</v>
      </c>
      <c r="E138" s="180" t="s">
        <v>277</v>
      </c>
      <c r="F138" s="180" t="s">
        <v>183</v>
      </c>
      <c r="G138" s="180">
        <v>1</v>
      </c>
      <c r="H138" s="168">
        <v>3</v>
      </c>
      <c r="I138" s="146"/>
      <c r="J138" s="24"/>
      <c r="K138" s="24"/>
      <c r="L138" s="24"/>
      <c r="M138" s="24"/>
      <c r="N138" s="146"/>
      <c r="O138" s="146"/>
    </row>
    <row r="139" spans="1:15">
      <c r="A139" s="146"/>
      <c r="B139" s="164" t="s">
        <v>294</v>
      </c>
      <c r="C139" s="165"/>
      <c r="D139" s="165"/>
      <c r="E139" s="166"/>
      <c r="F139" s="166"/>
      <c r="G139" s="166"/>
      <c r="H139" s="166"/>
      <c r="I139" s="146"/>
      <c r="J139" s="24"/>
      <c r="K139" s="24"/>
      <c r="L139" s="24"/>
      <c r="M139" s="24"/>
      <c r="N139" s="146"/>
      <c r="O139" s="146"/>
    </row>
    <row r="140" ht="13.05" spans="1:15">
      <c r="A140" s="146"/>
      <c r="B140" s="170" t="s">
        <v>121</v>
      </c>
      <c r="C140" s="158">
        <v>100</v>
      </c>
      <c r="D140" s="158">
        <v>125</v>
      </c>
      <c r="E140" s="169" t="s">
        <v>277</v>
      </c>
      <c r="F140" s="169" t="s">
        <v>183</v>
      </c>
      <c r="G140" s="169">
        <v>1</v>
      </c>
      <c r="H140" s="169">
        <v>5</v>
      </c>
      <c r="I140" s="146"/>
      <c r="J140" s="24"/>
      <c r="K140" s="24"/>
      <c r="L140" s="24"/>
      <c r="M140" s="24"/>
      <c r="N140" s="146"/>
      <c r="O140" s="146"/>
    </row>
    <row r="141" ht="13.05" spans="1:15">
      <c r="A141" s="146"/>
      <c r="B141" s="195" t="s">
        <v>122</v>
      </c>
      <c r="C141" s="284">
        <f>IF(HighPwrGrant="NONE",IF(BT="YES",50,44),50)</f>
        <v>44</v>
      </c>
      <c r="D141" s="168">
        <v>57</v>
      </c>
      <c r="E141" s="180" t="s">
        <v>182</v>
      </c>
      <c r="F141" s="180" t="s">
        <v>183</v>
      </c>
      <c r="G141" s="180">
        <v>1</v>
      </c>
      <c r="H141" s="168">
        <v>5</v>
      </c>
      <c r="I141" s="146"/>
      <c r="J141" s="24"/>
      <c r="K141" s="24"/>
      <c r="L141" s="24"/>
      <c r="M141" s="24"/>
      <c r="N141" s="146"/>
      <c r="O141" s="146"/>
    </row>
    <row r="142" ht="13.05" spans="1:15">
      <c r="A142" s="146"/>
      <c r="B142" s="195" t="s">
        <v>123</v>
      </c>
      <c r="C142" s="284">
        <f>IF(HighPwrGrant="NONE",IF(BT="YES",50,44),50)</f>
        <v>44</v>
      </c>
      <c r="D142" s="161">
        <v>57</v>
      </c>
      <c r="E142" s="162" t="s">
        <v>182</v>
      </c>
      <c r="F142" s="162" t="s">
        <v>183</v>
      </c>
      <c r="G142" s="162">
        <v>1</v>
      </c>
      <c r="H142" s="161">
        <v>5</v>
      </c>
      <c r="I142" s="146"/>
      <c r="J142" s="24"/>
      <c r="K142" s="24"/>
      <c r="L142" s="24"/>
      <c r="M142" s="24"/>
      <c r="N142" s="146"/>
      <c r="O142" s="146"/>
    </row>
    <row r="143" ht="13.05" spans="1:15">
      <c r="A143" s="146"/>
      <c r="B143" s="195" t="s">
        <v>295</v>
      </c>
      <c r="C143" s="161">
        <v>100</v>
      </c>
      <c r="D143" s="161">
        <v>125</v>
      </c>
      <c r="E143" s="162" t="s">
        <v>277</v>
      </c>
      <c r="F143" s="162" t="s">
        <v>183</v>
      </c>
      <c r="G143" s="162">
        <v>1</v>
      </c>
      <c r="H143" s="162">
        <v>5</v>
      </c>
      <c r="I143" s="146"/>
      <c r="J143" s="24"/>
      <c r="K143" s="24"/>
      <c r="L143" s="24"/>
      <c r="M143" s="24"/>
      <c r="N143" s="146"/>
      <c r="O143" s="146"/>
    </row>
    <row r="144" ht="13.05" spans="1:15">
      <c r="A144" s="146"/>
      <c r="B144" s="195" t="s">
        <v>296</v>
      </c>
      <c r="C144" s="168">
        <v>50</v>
      </c>
      <c r="D144" s="168">
        <v>57</v>
      </c>
      <c r="E144" s="180" t="s">
        <v>182</v>
      </c>
      <c r="F144" s="180" t="s">
        <v>183</v>
      </c>
      <c r="G144" s="180">
        <v>1</v>
      </c>
      <c r="H144" s="168">
        <v>5</v>
      </c>
      <c r="I144" s="146"/>
      <c r="J144" s="24"/>
      <c r="K144" s="24"/>
      <c r="L144" s="24"/>
      <c r="M144" s="24"/>
      <c r="N144" s="146"/>
      <c r="O144" s="146"/>
    </row>
    <row r="145" ht="13.05" spans="1:15">
      <c r="A145" s="146"/>
      <c r="B145" s="195" t="s">
        <v>297</v>
      </c>
      <c r="C145" s="168">
        <v>50</v>
      </c>
      <c r="D145" s="168">
        <v>57</v>
      </c>
      <c r="E145" s="162" t="s">
        <v>182</v>
      </c>
      <c r="F145" s="162" t="s">
        <v>183</v>
      </c>
      <c r="G145" s="162">
        <v>1</v>
      </c>
      <c r="H145" s="161">
        <v>5</v>
      </c>
      <c r="I145" s="146"/>
      <c r="J145" s="24"/>
      <c r="K145" s="24"/>
      <c r="L145" s="24"/>
      <c r="M145" s="24"/>
      <c r="N145" s="146"/>
      <c r="O145" s="146"/>
    </row>
    <row r="146" spans="1:15">
      <c r="A146" s="146"/>
      <c r="B146" s="164" t="s">
        <v>298</v>
      </c>
      <c r="C146" s="165"/>
      <c r="D146" s="165"/>
      <c r="E146" s="166"/>
      <c r="F146" s="166"/>
      <c r="G146" s="166"/>
      <c r="H146" s="166"/>
      <c r="I146" s="146"/>
      <c r="J146" s="24"/>
      <c r="K146" s="24"/>
      <c r="L146" s="24"/>
      <c r="M146" s="24"/>
      <c r="N146" s="146"/>
      <c r="O146" s="146"/>
    </row>
    <row r="147" ht="13.05" spans="1:15">
      <c r="A147" s="146"/>
      <c r="B147" s="157" t="s">
        <v>125</v>
      </c>
      <c r="C147" s="158">
        <v>1</v>
      </c>
      <c r="D147" s="182">
        <f>IF(BT="YES",6,60)</f>
        <v>60</v>
      </c>
      <c r="E147" s="159" t="s">
        <v>212</v>
      </c>
      <c r="F147" s="159" t="s">
        <v>183</v>
      </c>
      <c r="G147" s="159">
        <v>1</v>
      </c>
      <c r="H147" s="159">
        <v>5</v>
      </c>
      <c r="I147" s="146"/>
      <c r="J147" s="24"/>
      <c r="K147" s="24"/>
      <c r="L147" s="24"/>
      <c r="M147" s="24"/>
      <c r="N147" s="146"/>
      <c r="O147" s="146"/>
    </row>
    <row r="148" ht="13.05" spans="1:15">
      <c r="A148" s="146"/>
      <c r="B148" s="160" t="s">
        <v>126</v>
      </c>
      <c r="C148" s="161">
        <v>1</v>
      </c>
      <c r="D148" s="161">
        <v>1</v>
      </c>
      <c r="E148" s="162" t="s">
        <v>198</v>
      </c>
      <c r="F148" s="162" t="s">
        <v>183</v>
      </c>
      <c r="G148" s="162">
        <v>0</v>
      </c>
      <c r="H148" s="162">
        <v>5</v>
      </c>
      <c r="I148" s="146"/>
      <c r="J148" s="24"/>
      <c r="K148" s="24"/>
      <c r="L148" s="24"/>
      <c r="M148" s="24"/>
      <c r="N148" s="146"/>
      <c r="O148" s="146"/>
    </row>
    <row r="149" spans="1:15">
      <c r="A149" s="146"/>
      <c r="B149" s="164" t="s">
        <v>299</v>
      </c>
      <c r="C149" s="165"/>
      <c r="D149" s="165"/>
      <c r="E149" s="166"/>
      <c r="F149" s="166"/>
      <c r="G149" s="166"/>
      <c r="H149" s="166"/>
      <c r="I149" s="146"/>
      <c r="J149" s="24"/>
      <c r="K149" s="24"/>
      <c r="L149" s="24"/>
      <c r="M149" s="24"/>
      <c r="N149" s="146"/>
      <c r="O149" s="146"/>
    </row>
    <row r="150" ht="13.05" spans="1:15">
      <c r="A150" s="146"/>
      <c r="B150" s="170" t="s">
        <v>128</v>
      </c>
      <c r="C150" s="287">
        <f>IF(BT="YES",4,5)</f>
        <v>5</v>
      </c>
      <c r="D150" s="287">
        <f>IF(BT="YES",9,10)</f>
        <v>10</v>
      </c>
      <c r="E150" s="159" t="s">
        <v>203</v>
      </c>
      <c r="F150" s="159" t="s">
        <v>183</v>
      </c>
      <c r="G150" s="159">
        <v>1</v>
      </c>
      <c r="H150" s="159">
        <v>5</v>
      </c>
      <c r="I150" s="146"/>
      <c r="J150" s="24"/>
      <c r="K150" s="24"/>
      <c r="L150" s="24"/>
      <c r="M150" s="24"/>
      <c r="N150" s="146"/>
      <c r="O150" s="146"/>
    </row>
    <row r="151" ht="13.05" spans="1:15">
      <c r="A151" s="146"/>
      <c r="B151" s="160" t="s">
        <v>129</v>
      </c>
      <c r="C151" s="287">
        <f>IF(BT="YES",320,300)</f>
        <v>300</v>
      </c>
      <c r="D151" s="161">
        <v>400</v>
      </c>
      <c r="E151" s="162" t="s">
        <v>212</v>
      </c>
      <c r="F151" s="159" t="s">
        <v>183</v>
      </c>
      <c r="G151" s="159">
        <v>0</v>
      </c>
      <c r="H151" s="159">
        <v>1</v>
      </c>
      <c r="I151" s="146"/>
      <c r="J151" s="24"/>
      <c r="K151" s="24"/>
      <c r="L151" s="24"/>
      <c r="M151" s="24"/>
      <c r="N151" s="146"/>
      <c r="O151" s="146"/>
    </row>
    <row r="152" ht="13.05" spans="1:15">
      <c r="A152" s="146"/>
      <c r="B152" s="160" t="s">
        <v>130</v>
      </c>
      <c r="C152" s="161">
        <v>-1</v>
      </c>
      <c r="D152" s="161">
        <v>30</v>
      </c>
      <c r="E152" s="162" t="s">
        <v>182</v>
      </c>
      <c r="F152" s="159" t="s">
        <v>195</v>
      </c>
      <c r="G152" s="159">
        <v>1</v>
      </c>
      <c r="H152" s="159">
        <v>1</v>
      </c>
      <c r="I152" s="146"/>
      <c r="J152" s="24"/>
      <c r="K152" s="24"/>
      <c r="L152" s="24"/>
      <c r="M152" s="24"/>
      <c r="N152" s="146"/>
      <c r="O152" s="146"/>
    </row>
    <row r="153" spans="1:15">
      <c r="A153" s="146"/>
      <c r="B153" s="164" t="s">
        <v>300</v>
      </c>
      <c r="C153" s="165"/>
      <c r="D153" s="165"/>
      <c r="E153" s="166"/>
      <c r="F153" s="166"/>
      <c r="G153" s="166"/>
      <c r="H153" s="166"/>
      <c r="I153" s="146"/>
      <c r="J153" s="24"/>
      <c r="K153" s="24"/>
      <c r="L153" s="24"/>
      <c r="M153" s="24"/>
      <c r="N153" s="146"/>
      <c r="O153" s="146"/>
    </row>
    <row r="154" ht="13.05" spans="1:15">
      <c r="A154" s="146"/>
      <c r="B154" s="170" t="s">
        <v>132</v>
      </c>
      <c r="C154" s="280">
        <v>-1</v>
      </c>
      <c r="D154" s="280">
        <f>1750</f>
        <v>1750</v>
      </c>
      <c r="E154" s="171" t="s">
        <v>203</v>
      </c>
      <c r="F154" s="159" t="s">
        <v>183</v>
      </c>
      <c r="G154" s="159">
        <v>1</v>
      </c>
      <c r="H154" s="280">
        <v>5</v>
      </c>
      <c r="I154" s="146"/>
      <c r="J154" s="24"/>
      <c r="K154" s="24"/>
      <c r="L154" s="24"/>
      <c r="M154" s="24"/>
      <c r="N154" s="146"/>
      <c r="O154" s="146"/>
    </row>
    <row r="155" ht="13.05" spans="1:15">
      <c r="A155" s="146"/>
      <c r="B155" s="183" t="s">
        <v>133</v>
      </c>
      <c r="C155" s="280">
        <v>50</v>
      </c>
      <c r="D155" s="280">
        <v>9999</v>
      </c>
      <c r="E155" s="171" t="s">
        <v>212</v>
      </c>
      <c r="F155" s="159" t="s">
        <v>183</v>
      </c>
      <c r="G155" s="159">
        <v>1</v>
      </c>
      <c r="H155" s="280">
        <v>1</v>
      </c>
      <c r="I155" s="146"/>
      <c r="J155" s="24"/>
      <c r="K155" s="24"/>
      <c r="L155" s="24"/>
      <c r="M155" s="24"/>
      <c r="N155" s="146"/>
      <c r="O155" s="146"/>
    </row>
    <row r="156" ht="13.05" spans="1:15">
      <c r="A156" s="146"/>
      <c r="B156" s="183" t="s">
        <v>134</v>
      </c>
      <c r="C156" s="280">
        <v>-1</v>
      </c>
      <c r="D156" s="290">
        <f>IF(HighPwrGrant="NONE",399,683)</f>
        <v>399</v>
      </c>
      <c r="E156" s="171" t="s">
        <v>203</v>
      </c>
      <c r="F156" s="159" t="s">
        <v>183</v>
      </c>
      <c r="G156" s="159">
        <v>1</v>
      </c>
      <c r="H156" s="280">
        <v>5</v>
      </c>
      <c r="I156" s="146"/>
      <c r="J156" s="24"/>
      <c r="K156" s="24"/>
      <c r="L156" s="24"/>
      <c r="M156" s="24"/>
      <c r="N156" s="146"/>
      <c r="O156" s="146"/>
    </row>
    <row r="157" ht="13.05" spans="1:15">
      <c r="A157" s="146"/>
      <c r="B157" s="183" t="s">
        <v>135</v>
      </c>
      <c r="C157" s="280">
        <v>-1</v>
      </c>
      <c r="D157" s="280">
        <v>2000</v>
      </c>
      <c r="E157" s="171" t="s">
        <v>212</v>
      </c>
      <c r="F157" s="159" t="s">
        <v>183</v>
      </c>
      <c r="G157" s="159">
        <v>1</v>
      </c>
      <c r="H157" s="280">
        <v>1</v>
      </c>
      <c r="I157" s="146"/>
      <c r="J157" s="24"/>
      <c r="K157" s="24"/>
      <c r="L157" s="24"/>
      <c r="M157" s="24"/>
      <c r="N157" s="146"/>
      <c r="O157" s="146"/>
    </row>
    <row r="158" ht="13.05" spans="1:15">
      <c r="A158" s="146"/>
      <c r="B158" s="183" t="s">
        <v>301</v>
      </c>
      <c r="C158" s="280">
        <v>-1</v>
      </c>
      <c r="D158" s="280">
        <v>1750</v>
      </c>
      <c r="E158" s="171" t="s">
        <v>203</v>
      </c>
      <c r="F158" s="159" t="s">
        <v>183</v>
      </c>
      <c r="G158" s="159">
        <v>1</v>
      </c>
      <c r="H158" s="280">
        <v>5</v>
      </c>
      <c r="I158" s="146"/>
      <c r="J158" s="24"/>
      <c r="K158" s="24"/>
      <c r="L158" s="24"/>
      <c r="M158" s="24"/>
      <c r="N158" s="146"/>
      <c r="O158" s="146"/>
    </row>
    <row r="159" ht="13.05" spans="1:15">
      <c r="A159" s="146"/>
      <c r="B159" s="183" t="s">
        <v>302</v>
      </c>
      <c r="C159" s="280">
        <v>10</v>
      </c>
      <c r="D159" s="280">
        <v>9999</v>
      </c>
      <c r="E159" s="171" t="s">
        <v>212</v>
      </c>
      <c r="F159" s="159" t="s">
        <v>183</v>
      </c>
      <c r="G159" s="159">
        <v>1</v>
      </c>
      <c r="H159" s="280">
        <v>1</v>
      </c>
      <c r="I159" s="146"/>
      <c r="J159" s="24"/>
      <c r="K159" s="24"/>
      <c r="L159" s="24"/>
      <c r="M159" s="24"/>
      <c r="N159" s="146"/>
      <c r="O159" s="146"/>
    </row>
    <row r="160" ht="13.05" spans="1:15">
      <c r="A160" s="146"/>
      <c r="B160" s="183" t="s">
        <v>303</v>
      </c>
      <c r="C160" s="280">
        <v>-1</v>
      </c>
      <c r="D160" s="280">
        <v>683</v>
      </c>
      <c r="E160" s="171" t="s">
        <v>203</v>
      </c>
      <c r="F160" s="159" t="s">
        <v>183</v>
      </c>
      <c r="G160" s="159">
        <v>1</v>
      </c>
      <c r="H160" s="280">
        <v>5</v>
      </c>
      <c r="I160" s="146"/>
      <c r="J160" s="24"/>
      <c r="K160" s="24"/>
      <c r="L160" s="24"/>
      <c r="M160" s="24"/>
      <c r="N160" s="146"/>
      <c r="O160" s="146"/>
    </row>
    <row r="161" ht="13.05" spans="1:15">
      <c r="A161" s="146"/>
      <c r="B161" s="183" t="s">
        <v>304</v>
      </c>
      <c r="C161" s="280">
        <v>-1</v>
      </c>
      <c r="D161" s="280">
        <v>2000</v>
      </c>
      <c r="E161" s="171" t="s">
        <v>212</v>
      </c>
      <c r="F161" s="159" t="s">
        <v>183</v>
      </c>
      <c r="G161" s="159">
        <v>1</v>
      </c>
      <c r="H161" s="280">
        <v>1</v>
      </c>
      <c r="I161" s="146"/>
      <c r="J161" s="24"/>
      <c r="K161" s="24"/>
      <c r="L161" s="24"/>
      <c r="M161" s="24"/>
      <c r="N161" s="146"/>
      <c r="O161" s="146"/>
    </row>
    <row r="162" spans="1:15">
      <c r="A162" s="146"/>
      <c r="B162" s="164" t="s">
        <v>305</v>
      </c>
      <c r="C162" s="165"/>
      <c r="D162" s="165"/>
      <c r="E162" s="166"/>
      <c r="F162" s="166"/>
      <c r="G162" s="166"/>
      <c r="H162" s="166"/>
      <c r="I162" s="146"/>
      <c r="J162" s="24"/>
      <c r="K162" s="24"/>
      <c r="L162" s="24"/>
      <c r="M162" s="24"/>
      <c r="N162" s="146"/>
      <c r="O162" s="146"/>
    </row>
    <row r="163" ht="13.05" spans="1:15">
      <c r="A163" s="146"/>
      <c r="B163" s="291" t="s">
        <v>137</v>
      </c>
      <c r="C163" s="158">
        <v>0</v>
      </c>
      <c r="D163" s="158">
        <v>500</v>
      </c>
      <c r="E163" s="159" t="s">
        <v>212</v>
      </c>
      <c r="F163" s="159" t="s">
        <v>183</v>
      </c>
      <c r="G163" s="159">
        <v>1</v>
      </c>
      <c r="H163" s="159">
        <v>1</v>
      </c>
      <c r="I163" s="146"/>
      <c r="J163" s="24"/>
      <c r="K163" s="24"/>
      <c r="L163" s="24"/>
      <c r="M163" s="24"/>
      <c r="N163" s="146"/>
      <c r="O163" s="146"/>
    </row>
    <row r="164" ht="13.05" spans="1:15">
      <c r="A164" s="146"/>
      <c r="B164" s="292" t="s">
        <v>139</v>
      </c>
      <c r="C164" s="161">
        <v>-1</v>
      </c>
      <c r="D164" s="161">
        <v>0.52</v>
      </c>
      <c r="E164" s="167" t="s">
        <v>210</v>
      </c>
      <c r="F164" s="159" t="s">
        <v>183</v>
      </c>
      <c r="G164" s="159">
        <v>2</v>
      </c>
      <c r="H164" s="159">
        <v>1</v>
      </c>
      <c r="I164" s="146"/>
      <c r="J164" s="24"/>
      <c r="K164" s="24"/>
      <c r="L164" s="24"/>
      <c r="M164" s="24"/>
      <c r="N164" s="146"/>
      <c r="O164" s="146"/>
    </row>
    <row r="165" ht="13.05" spans="1:15">
      <c r="A165" s="146"/>
      <c r="B165" s="292" t="s">
        <v>140</v>
      </c>
      <c r="C165" s="161">
        <v>45</v>
      </c>
      <c r="D165" s="161">
        <v>50000</v>
      </c>
      <c r="E165" s="162" t="s">
        <v>206</v>
      </c>
      <c r="F165" s="159" t="s">
        <v>195</v>
      </c>
      <c r="G165" s="159">
        <v>0</v>
      </c>
      <c r="H165" s="159">
        <v>1</v>
      </c>
      <c r="I165" s="146"/>
      <c r="J165" s="24"/>
      <c r="K165" s="24"/>
      <c r="L165" s="24"/>
      <c r="M165" s="24"/>
      <c r="N165" s="146"/>
      <c r="O165" s="146"/>
    </row>
    <row r="166" spans="1:15">
      <c r="A166" s="146"/>
      <c r="B166" s="164" t="s">
        <v>306</v>
      </c>
      <c r="C166" s="165"/>
      <c r="D166" s="165"/>
      <c r="E166" s="166"/>
      <c r="F166" s="166"/>
      <c r="G166" s="166"/>
      <c r="H166" s="166"/>
      <c r="I166" s="146"/>
      <c r="J166" s="24"/>
      <c r="K166" s="24"/>
      <c r="L166" s="24"/>
      <c r="M166" s="24"/>
      <c r="N166" s="146"/>
      <c r="O166" s="146"/>
    </row>
    <row r="167" ht="13.05" spans="1:15">
      <c r="A167" s="146"/>
      <c r="B167" s="157" t="s">
        <v>142</v>
      </c>
      <c r="C167" s="158">
        <v>0</v>
      </c>
      <c r="D167" s="158">
        <v>2.8</v>
      </c>
      <c r="E167" s="159" t="s">
        <v>182</v>
      </c>
      <c r="F167" s="159" t="s">
        <v>183</v>
      </c>
      <c r="G167" s="159">
        <v>1</v>
      </c>
      <c r="H167" s="159">
        <v>1</v>
      </c>
      <c r="I167" s="146"/>
      <c r="J167" s="24"/>
      <c r="K167" s="24"/>
      <c r="L167" s="24"/>
      <c r="M167" s="24"/>
      <c r="N167" s="146"/>
      <c r="O167" s="146"/>
    </row>
    <row r="168" ht="13.05" spans="1:15">
      <c r="A168" s="146"/>
      <c r="B168" s="160" t="s">
        <v>144</v>
      </c>
      <c r="C168" s="161">
        <v>750</v>
      </c>
      <c r="D168" s="161">
        <v>10000</v>
      </c>
      <c r="E168" s="162" t="s">
        <v>212</v>
      </c>
      <c r="F168" s="159" t="s">
        <v>183</v>
      </c>
      <c r="G168" s="159">
        <v>0</v>
      </c>
      <c r="H168" s="159">
        <v>0</v>
      </c>
      <c r="I168" s="146"/>
      <c r="J168" s="24"/>
      <c r="K168" s="24"/>
      <c r="L168" s="24"/>
      <c r="M168" s="24"/>
      <c r="N168" s="146"/>
      <c r="O168" s="146"/>
    </row>
    <row r="169" ht="13.05" spans="1:15">
      <c r="A169" s="146"/>
      <c r="B169" s="160" t="s">
        <v>145</v>
      </c>
      <c r="C169" s="161">
        <v>0</v>
      </c>
      <c r="D169" s="161">
        <v>20.5</v>
      </c>
      <c r="E169" s="162" t="s">
        <v>182</v>
      </c>
      <c r="F169" s="159" t="s">
        <v>183</v>
      </c>
      <c r="G169" s="159">
        <v>1</v>
      </c>
      <c r="H169" s="159">
        <v>1</v>
      </c>
      <c r="I169" s="146"/>
      <c r="J169" s="24"/>
      <c r="K169" s="24"/>
      <c r="L169" s="24"/>
      <c r="M169" s="24"/>
      <c r="N169" s="146"/>
      <c r="O169" s="146"/>
    </row>
    <row r="170" spans="1:15">
      <c r="A170" s="146"/>
      <c r="B170" s="164" t="s">
        <v>307</v>
      </c>
      <c r="C170" s="165"/>
      <c r="D170" s="165"/>
      <c r="E170" s="166"/>
      <c r="F170" s="166"/>
      <c r="G170" s="166"/>
      <c r="H170" s="166"/>
      <c r="I170" s="146"/>
      <c r="J170" s="24"/>
      <c r="K170" s="24"/>
      <c r="L170" s="24"/>
      <c r="M170" s="24"/>
      <c r="N170" s="146"/>
      <c r="O170" s="146"/>
    </row>
    <row r="171" ht="13.05" spans="1:15">
      <c r="A171" s="146"/>
      <c r="B171" s="157" t="s">
        <v>308</v>
      </c>
      <c r="C171" s="158">
        <v>300</v>
      </c>
      <c r="D171" s="158">
        <v>400</v>
      </c>
      <c r="E171" s="159" t="s">
        <v>212</v>
      </c>
      <c r="F171" s="159" t="s">
        <v>183</v>
      </c>
      <c r="G171" s="159">
        <v>0</v>
      </c>
      <c r="H171" s="159">
        <v>1</v>
      </c>
      <c r="I171" s="146"/>
      <c r="J171" s="24"/>
      <c r="K171" s="24"/>
      <c r="L171" s="24"/>
      <c r="M171" s="24"/>
      <c r="N171" s="146"/>
      <c r="O171" s="146"/>
    </row>
    <row r="172" ht="13.05" spans="1:15">
      <c r="A172" s="146"/>
      <c r="B172" s="293" t="s">
        <v>309</v>
      </c>
      <c r="C172" s="294">
        <v>0</v>
      </c>
      <c r="D172" s="294">
        <v>0</v>
      </c>
      <c r="E172" s="169" t="s">
        <v>203</v>
      </c>
      <c r="F172" s="159" t="s">
        <v>183</v>
      </c>
      <c r="G172" s="159">
        <v>1</v>
      </c>
      <c r="H172" s="159">
        <v>0</v>
      </c>
      <c r="I172" s="146"/>
      <c r="J172" s="24"/>
      <c r="K172" s="24"/>
      <c r="L172" s="24"/>
      <c r="M172" s="24"/>
      <c r="N172" s="146"/>
      <c r="O172" s="146"/>
    </row>
    <row r="173" spans="1:15">
      <c r="A173" s="146"/>
      <c r="B173" s="164" t="s">
        <v>310</v>
      </c>
      <c r="C173" s="165"/>
      <c r="D173" s="165"/>
      <c r="E173" s="166"/>
      <c r="F173" s="166"/>
      <c r="G173" s="166"/>
      <c r="H173" s="166"/>
      <c r="I173" s="146"/>
      <c r="J173" s="24"/>
      <c r="K173" s="24"/>
      <c r="L173" s="24"/>
      <c r="M173" s="24"/>
      <c r="N173" s="146"/>
      <c r="O173" s="146"/>
    </row>
    <row r="174" ht="13.05" spans="1:15">
      <c r="A174" s="146"/>
      <c r="B174" s="157" t="s">
        <v>311</v>
      </c>
      <c r="C174" s="158">
        <v>1.9</v>
      </c>
      <c r="D174" s="158">
        <v>5.7</v>
      </c>
      <c r="E174" s="159" t="s">
        <v>312</v>
      </c>
      <c r="F174" s="159" t="s">
        <v>183</v>
      </c>
      <c r="G174" s="159">
        <v>1</v>
      </c>
      <c r="H174" s="159">
        <v>3</v>
      </c>
      <c r="I174" s="146"/>
      <c r="J174" s="24"/>
      <c r="K174" s="24"/>
      <c r="L174" s="24"/>
      <c r="M174" s="24"/>
      <c r="N174" s="146"/>
      <c r="O174" s="146"/>
    </row>
    <row r="175" ht="13.05" spans="1:15">
      <c r="A175" s="146"/>
      <c r="B175" s="157" t="s">
        <v>313</v>
      </c>
      <c r="C175" s="158">
        <v>3.25</v>
      </c>
      <c r="D175" s="158">
        <v>10</v>
      </c>
      <c r="E175" s="159" t="s">
        <v>314</v>
      </c>
      <c r="F175" s="159" t="s">
        <v>183</v>
      </c>
      <c r="G175" s="159">
        <v>1</v>
      </c>
      <c r="H175" s="159">
        <v>1</v>
      </c>
      <c r="I175" s="146"/>
      <c r="J175" s="24"/>
      <c r="K175" s="24"/>
      <c r="L175" s="24"/>
      <c r="M175" s="24"/>
      <c r="N175" s="146"/>
      <c r="O175" s="146"/>
    </row>
    <row r="176" ht="13.05" spans="1:15">
      <c r="A176" s="146"/>
      <c r="B176" s="160" t="s">
        <v>315</v>
      </c>
      <c r="C176" s="161">
        <v>0</v>
      </c>
      <c r="D176" s="161">
        <v>500</v>
      </c>
      <c r="E176" s="162" t="s">
        <v>316</v>
      </c>
      <c r="F176" s="159" t="s">
        <v>183</v>
      </c>
      <c r="G176" s="159">
        <v>0</v>
      </c>
      <c r="H176" s="159">
        <v>3</v>
      </c>
      <c r="I176" s="146"/>
      <c r="J176" s="24"/>
      <c r="K176" s="24"/>
      <c r="L176" s="24"/>
      <c r="M176" s="24"/>
      <c r="N176" s="146"/>
      <c r="O176" s="146"/>
    </row>
    <row r="177" ht="13.05" spans="1:15">
      <c r="A177" s="146"/>
      <c r="B177" s="160" t="s">
        <v>317</v>
      </c>
      <c r="C177" s="161">
        <v>0</v>
      </c>
      <c r="D177" s="161">
        <v>0.1</v>
      </c>
      <c r="E177" s="162" t="s">
        <v>192</v>
      </c>
      <c r="F177" s="159" t="s">
        <v>183</v>
      </c>
      <c r="G177" s="159">
        <v>4</v>
      </c>
      <c r="H177" s="159">
        <v>1</v>
      </c>
      <c r="I177" s="146"/>
      <c r="J177" s="24"/>
      <c r="K177" s="24"/>
      <c r="L177" s="24"/>
      <c r="M177" s="24"/>
      <c r="N177" s="146"/>
      <c r="O177" s="146"/>
    </row>
    <row r="178" ht="13.05" spans="1:15">
      <c r="A178" s="146"/>
      <c r="B178" s="295" t="s">
        <v>318</v>
      </c>
      <c r="C178" s="168">
        <v>0</v>
      </c>
      <c r="D178" s="168">
        <v>5</v>
      </c>
      <c r="E178" s="180" t="s">
        <v>203</v>
      </c>
      <c r="F178" s="159" t="s">
        <v>183</v>
      </c>
      <c r="G178" s="159">
        <v>1</v>
      </c>
      <c r="H178" s="159">
        <v>0</v>
      </c>
      <c r="I178" s="146"/>
      <c r="J178" s="24"/>
      <c r="K178" s="24"/>
      <c r="L178" s="24"/>
      <c r="M178" s="24"/>
      <c r="N178" s="146"/>
      <c r="O178" s="146"/>
    </row>
    <row r="179" spans="1:15">
      <c r="A179" s="146"/>
      <c r="B179" s="164" t="s">
        <v>319</v>
      </c>
      <c r="C179" s="165"/>
      <c r="D179" s="165"/>
      <c r="E179" s="166"/>
      <c r="F179" s="166"/>
      <c r="G179" s="166"/>
      <c r="H179" s="166"/>
      <c r="I179" s="146"/>
      <c r="J179" s="24"/>
      <c r="K179" s="24"/>
      <c r="L179" s="24"/>
      <c r="M179" s="24"/>
      <c r="N179" s="146"/>
      <c r="O179" s="146"/>
    </row>
    <row r="180" ht="13.05" spans="1:15">
      <c r="A180" s="146"/>
      <c r="B180" s="157" t="s">
        <v>320</v>
      </c>
      <c r="C180" s="158">
        <v>0</v>
      </c>
      <c r="D180" s="158">
        <v>30</v>
      </c>
      <c r="E180" s="159" t="s">
        <v>321</v>
      </c>
      <c r="F180" s="159" t="s">
        <v>183</v>
      </c>
      <c r="G180" s="159">
        <v>1</v>
      </c>
      <c r="H180" s="159">
        <v>1</v>
      </c>
      <c r="I180" s="146"/>
      <c r="J180" s="24"/>
      <c r="K180" s="24"/>
      <c r="L180" s="24"/>
      <c r="M180" s="24"/>
      <c r="N180" s="146"/>
      <c r="O180" s="146"/>
    </row>
    <row r="181" ht="13.05" spans="1:15">
      <c r="A181" s="146"/>
      <c r="B181" s="160" t="s">
        <v>322</v>
      </c>
      <c r="C181" s="161">
        <v>0</v>
      </c>
      <c r="D181" s="161">
        <v>60</v>
      </c>
      <c r="E181" s="162" t="s">
        <v>321</v>
      </c>
      <c r="F181" s="159" t="s">
        <v>183</v>
      </c>
      <c r="G181" s="159">
        <v>1</v>
      </c>
      <c r="H181" s="159">
        <v>1</v>
      </c>
      <c r="I181" s="146"/>
      <c r="J181" s="24"/>
      <c r="K181" s="24"/>
      <c r="L181" s="24"/>
      <c r="M181" s="24"/>
      <c r="N181" s="146"/>
      <c r="O181" s="146"/>
    </row>
    <row r="182" spans="1:15">
      <c r="A182" s="146"/>
      <c r="B182" s="24"/>
      <c r="C182" s="24"/>
      <c r="D182" s="24"/>
      <c r="E182" s="24"/>
      <c r="F182" s="24"/>
      <c r="G182" s="24"/>
      <c r="H182" s="24"/>
      <c r="I182" s="146"/>
      <c r="J182" s="24"/>
      <c r="K182" s="24"/>
      <c r="L182" s="24"/>
      <c r="M182" s="24"/>
      <c r="N182" s="146"/>
      <c r="O182" s="146"/>
    </row>
    <row r="183" ht="15" spans="1:15">
      <c r="A183" s="146"/>
      <c r="B183" s="296" t="s">
        <v>323</v>
      </c>
      <c r="C183" s="24"/>
      <c r="D183" s="24"/>
      <c r="E183" s="24"/>
      <c r="F183" s="24"/>
      <c r="G183" s="24"/>
      <c r="H183" s="24"/>
      <c r="I183" s="146"/>
      <c r="J183" s="24"/>
      <c r="K183" s="24"/>
      <c r="L183" s="24"/>
      <c r="M183" s="24"/>
      <c r="N183" s="146"/>
      <c r="O183" s="146"/>
    </row>
    <row r="184" spans="1:15">
      <c r="A184" s="146"/>
      <c r="B184" s="297">
        <v>5</v>
      </c>
      <c r="C184" s="298" t="s">
        <v>324</v>
      </c>
      <c r="D184" s="299"/>
      <c r="E184" s="299"/>
      <c r="F184" s="299"/>
      <c r="G184" s="299"/>
      <c r="H184" s="300"/>
      <c r="I184" s="146"/>
      <c r="J184" s="24"/>
      <c r="K184" s="24"/>
      <c r="L184" s="24"/>
      <c r="M184" s="24"/>
      <c r="N184" s="146"/>
      <c r="O184" s="146"/>
    </row>
    <row r="185" spans="1:15">
      <c r="A185" s="146"/>
      <c r="B185" s="297">
        <v>3</v>
      </c>
      <c r="C185" s="298" t="s">
        <v>325</v>
      </c>
      <c r="D185" s="299"/>
      <c r="E185" s="299"/>
      <c r="F185" s="299"/>
      <c r="G185" s="299"/>
      <c r="H185" s="300"/>
      <c r="I185" s="146"/>
      <c r="J185" s="24"/>
      <c r="K185" s="24"/>
      <c r="L185" s="24"/>
      <c r="M185" s="24"/>
      <c r="N185" s="146"/>
      <c r="O185" s="146"/>
    </row>
    <row r="186" spans="1:15">
      <c r="A186" s="146"/>
      <c r="B186" s="297">
        <v>1</v>
      </c>
      <c r="C186" s="298" t="s">
        <v>326</v>
      </c>
      <c r="D186" s="299"/>
      <c r="E186" s="299"/>
      <c r="F186" s="299"/>
      <c r="G186" s="299"/>
      <c r="H186" s="300"/>
      <c r="I186" s="146"/>
      <c r="J186" s="24"/>
      <c r="K186" s="24"/>
      <c r="L186" s="24"/>
      <c r="M186" s="24"/>
      <c r="N186" s="146"/>
      <c r="O186" s="146"/>
    </row>
    <row r="187" spans="1:15">
      <c r="A187" s="146"/>
      <c r="B187" s="297">
        <v>0</v>
      </c>
      <c r="C187" s="298" t="s">
        <v>327</v>
      </c>
      <c r="D187" s="299"/>
      <c r="E187" s="299"/>
      <c r="F187" s="299"/>
      <c r="G187" s="299"/>
      <c r="H187" s="300"/>
      <c r="I187" s="146"/>
      <c r="J187" s="24"/>
      <c r="K187" s="24"/>
      <c r="L187" s="24"/>
      <c r="M187" s="24"/>
      <c r="N187" s="146"/>
      <c r="O187" s="146"/>
    </row>
    <row r="188" spans="1:15">
      <c r="A188" s="146"/>
      <c r="B188" s="24"/>
      <c r="C188" s="24"/>
      <c r="D188" s="24"/>
      <c r="E188" s="24"/>
      <c r="F188" s="24"/>
      <c r="G188" s="24"/>
      <c r="H188" s="24"/>
      <c r="I188" s="146"/>
      <c r="J188" s="24"/>
      <c r="K188" s="24"/>
      <c r="L188" s="24"/>
      <c r="M188" s="24"/>
      <c r="N188" s="146"/>
      <c r="O188" s="146"/>
    </row>
  </sheetData>
  <mergeCells count="14">
    <mergeCell ref="J5:K5"/>
    <mergeCell ref="J6:K6"/>
    <mergeCell ref="J9:K9"/>
    <mergeCell ref="J13:M13"/>
    <mergeCell ref="J17:M17"/>
    <mergeCell ref="J18:M18"/>
    <mergeCell ref="J21:L21"/>
    <mergeCell ref="J22:M22"/>
    <mergeCell ref="J23:M23"/>
    <mergeCell ref="J38:K38"/>
    <mergeCell ref="L38:M38"/>
    <mergeCell ref="J48:M48"/>
    <mergeCell ref="J56:M56"/>
    <mergeCell ref="J7:K8"/>
  </mergeCells>
  <pageMargins left="0.75" right="0.75" top="1" bottom="1" header="0.5" footer="0.5"/>
  <pageSetup paperSize="1" orientation="portrait" horizontalDpi="1200" verticalDpi="1200"/>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pageSetUpPr fitToPage="1"/>
  </sheetPr>
  <dimension ref="A1:F153"/>
  <sheetViews>
    <sheetView workbookViewId="0">
      <selection activeCell="A1" sqref="A1"/>
    </sheetView>
  </sheetViews>
  <sheetFormatPr defaultColWidth="9" defaultRowHeight="12.4" outlineLevelCol="5"/>
  <cols>
    <col min="2" max="2" width="33" customWidth="1"/>
    <col min="3" max="3" width="63" customWidth="1"/>
    <col min="4" max="4" width="56.8558558558559" customWidth="1"/>
    <col min="5" max="5" width="33" customWidth="1"/>
  </cols>
  <sheetData>
    <row r="1" spans="1:6">
      <c r="A1" s="24"/>
      <c r="B1" s="24"/>
      <c r="C1" s="24"/>
      <c r="D1" s="24"/>
      <c r="E1" s="24"/>
      <c r="F1" s="24"/>
    </row>
    <row r="2" ht="18.3" spans="1:6">
      <c r="A2" s="24"/>
      <c r="B2" s="67" t="s">
        <v>328</v>
      </c>
      <c r="C2" s="68"/>
      <c r="D2" s="24"/>
      <c r="E2" s="24"/>
      <c r="F2" s="24"/>
    </row>
    <row r="3" ht="13.15" spans="1:6">
      <c r="A3" s="24"/>
      <c r="B3" s="24"/>
      <c r="C3" s="24"/>
      <c r="D3" s="24"/>
      <c r="E3" s="24"/>
      <c r="F3" s="24"/>
    </row>
    <row r="4" ht="14.45" spans="1:6">
      <c r="A4" s="24"/>
      <c r="B4" s="69" t="s">
        <v>171</v>
      </c>
      <c r="C4" s="70" t="s">
        <v>329</v>
      </c>
      <c r="D4" s="71" t="s">
        <v>330</v>
      </c>
      <c r="E4" s="72" t="s">
        <v>331</v>
      </c>
      <c r="F4" s="24"/>
    </row>
    <row r="5" ht="12.6" spans="1:6">
      <c r="A5" s="24"/>
      <c r="B5" s="73" t="s">
        <v>179</v>
      </c>
      <c r="C5" s="74"/>
      <c r="D5" s="74"/>
      <c r="E5" s="75"/>
      <c r="F5" s="24"/>
    </row>
    <row r="6" ht="13.5" customHeight="1" spans="1:6">
      <c r="A6" s="24"/>
      <c r="B6" s="76" t="s">
        <v>31</v>
      </c>
      <c r="C6" s="77" t="s">
        <v>332</v>
      </c>
      <c r="D6" s="78"/>
      <c r="E6" s="79" t="s">
        <v>333</v>
      </c>
      <c r="F6" s="24"/>
    </row>
    <row r="7" ht="13.5" customHeight="1" spans="1:6">
      <c r="A7" s="24"/>
      <c r="B7" s="80" t="s">
        <v>33</v>
      </c>
      <c r="C7" s="81" t="s">
        <v>334</v>
      </c>
      <c r="D7" s="82"/>
      <c r="E7" s="83"/>
      <c r="F7" s="24"/>
    </row>
    <row r="8" ht="13.5" customHeight="1" spans="1:6">
      <c r="A8" s="24"/>
      <c r="B8" s="80" t="s">
        <v>34</v>
      </c>
      <c r="C8" s="81" t="s">
        <v>335</v>
      </c>
      <c r="D8" s="82"/>
      <c r="E8" s="83"/>
      <c r="F8" s="24"/>
    </row>
    <row r="9" ht="51.75" customHeight="1" spans="1:6">
      <c r="A9" s="24"/>
      <c r="B9" s="80" t="s">
        <v>35</v>
      </c>
      <c r="C9" s="81" t="s">
        <v>336</v>
      </c>
      <c r="D9" s="82" t="s">
        <v>337</v>
      </c>
      <c r="E9" s="83"/>
      <c r="F9" s="24"/>
    </row>
    <row r="10" ht="13.5" customHeight="1" spans="1:6">
      <c r="A10" s="24"/>
      <c r="B10" s="80" t="s">
        <v>36</v>
      </c>
      <c r="C10" s="81" t="s">
        <v>338</v>
      </c>
      <c r="D10" s="82"/>
      <c r="E10" s="83"/>
      <c r="F10" s="24"/>
    </row>
    <row r="11" ht="13.5" customHeight="1" spans="1:6">
      <c r="A11" s="24"/>
      <c r="B11" s="80" t="s">
        <v>38</v>
      </c>
      <c r="C11" s="81" t="s">
        <v>339</v>
      </c>
      <c r="D11" s="82"/>
      <c r="E11" s="83"/>
      <c r="F11" s="24"/>
    </row>
    <row r="12" ht="13.5" customHeight="1" spans="1:6">
      <c r="A12" s="24"/>
      <c r="B12" s="80" t="s">
        <v>40</v>
      </c>
      <c r="C12" s="84" t="s">
        <v>340</v>
      </c>
      <c r="D12" s="85"/>
      <c r="E12" s="83"/>
      <c r="F12" s="24"/>
    </row>
    <row r="13" ht="50.45" spans="1:6">
      <c r="A13" s="24"/>
      <c r="B13" s="86" t="s">
        <v>41</v>
      </c>
      <c r="C13" s="84" t="s">
        <v>341</v>
      </c>
      <c r="D13" s="85" t="s">
        <v>342</v>
      </c>
      <c r="E13" s="83"/>
      <c r="F13" s="24"/>
    </row>
    <row r="14" ht="25.6" spans="1:6">
      <c r="A14" s="24"/>
      <c r="B14" s="80" t="s">
        <v>42</v>
      </c>
      <c r="C14" s="81" t="s">
        <v>343</v>
      </c>
      <c r="D14" s="82" t="s">
        <v>344</v>
      </c>
      <c r="E14" s="83"/>
      <c r="F14" s="24"/>
    </row>
    <row r="15" ht="50.45" spans="1:6">
      <c r="A15" s="24"/>
      <c r="B15" s="87" t="s">
        <v>345</v>
      </c>
      <c r="C15" s="81" t="s">
        <v>346</v>
      </c>
      <c r="D15" s="85" t="s">
        <v>347</v>
      </c>
      <c r="E15" s="83"/>
      <c r="F15" s="24"/>
    </row>
    <row r="16" ht="13.5" customHeight="1" spans="1:6">
      <c r="A16" s="24"/>
      <c r="B16" s="88" t="s">
        <v>348</v>
      </c>
      <c r="C16" s="84" t="s">
        <v>349</v>
      </c>
      <c r="D16" s="89" t="s">
        <v>350</v>
      </c>
      <c r="E16" s="83"/>
      <c r="F16" s="24"/>
    </row>
    <row r="17" ht="13.5" customHeight="1" spans="1:6">
      <c r="A17" s="24"/>
      <c r="B17" s="90"/>
      <c r="C17" s="91" t="s">
        <v>351</v>
      </c>
      <c r="D17" s="92"/>
      <c r="E17" s="83"/>
      <c r="F17" s="24"/>
    </row>
    <row r="18" ht="13.5" customHeight="1" spans="1:6">
      <c r="A18" s="24"/>
      <c r="B18" s="90"/>
      <c r="C18" s="91" t="s">
        <v>352</v>
      </c>
      <c r="D18" s="92"/>
      <c r="E18" s="83"/>
      <c r="F18" s="24"/>
    </row>
    <row r="19" ht="13.5" customHeight="1" spans="1:6">
      <c r="A19" s="24"/>
      <c r="B19" s="90"/>
      <c r="C19" s="91" t="s">
        <v>353</v>
      </c>
      <c r="D19" s="92"/>
      <c r="E19" s="83"/>
      <c r="F19" s="24"/>
    </row>
    <row r="20" ht="28.5" customHeight="1" spans="1:6">
      <c r="A20" s="24"/>
      <c r="B20" s="90"/>
      <c r="C20" s="91" t="s">
        <v>354</v>
      </c>
      <c r="D20" s="92"/>
      <c r="E20" s="83"/>
      <c r="F20" s="24"/>
    </row>
    <row r="21" ht="48" customHeight="1" spans="1:6">
      <c r="A21" s="24"/>
      <c r="B21" s="90"/>
      <c r="C21" s="93" t="s">
        <v>355</v>
      </c>
      <c r="D21" s="92"/>
      <c r="E21" s="83"/>
      <c r="F21" s="24"/>
    </row>
    <row r="22" ht="12.75" customHeight="1" spans="1:6">
      <c r="A22" s="24"/>
      <c r="B22" s="73" t="s">
        <v>201</v>
      </c>
      <c r="C22" s="74"/>
      <c r="D22" s="74"/>
      <c r="E22" s="83"/>
      <c r="F22" s="24"/>
    </row>
    <row r="23" ht="13.5" customHeight="1" spans="1:6">
      <c r="A23" s="24"/>
      <c r="B23" s="76" t="s">
        <v>47</v>
      </c>
      <c r="C23" s="94" t="s">
        <v>356</v>
      </c>
      <c r="D23" s="78"/>
      <c r="E23" s="83"/>
      <c r="F23" s="24"/>
    </row>
    <row r="24" ht="14.25" customHeight="1" spans="1:6">
      <c r="A24" s="24"/>
      <c r="B24" s="95" t="s">
        <v>49</v>
      </c>
      <c r="C24" s="96" t="s">
        <v>357</v>
      </c>
      <c r="D24" s="89"/>
      <c r="E24" s="83"/>
      <c r="F24" s="24"/>
    </row>
    <row r="25" ht="12.75" customHeight="1" spans="1:6">
      <c r="A25" s="24"/>
      <c r="B25" s="73" t="s">
        <v>205</v>
      </c>
      <c r="C25" s="74"/>
      <c r="D25" s="74"/>
      <c r="E25" s="83"/>
      <c r="F25" s="24"/>
    </row>
    <row r="26" ht="13.5" customHeight="1" spans="1:6">
      <c r="A26" s="24"/>
      <c r="B26" s="76" t="s">
        <v>51</v>
      </c>
      <c r="C26" s="94" t="s">
        <v>358</v>
      </c>
      <c r="D26" s="78"/>
      <c r="E26" s="83"/>
      <c r="F26" s="24"/>
    </row>
    <row r="27" ht="13.5" customHeight="1" spans="1:6">
      <c r="A27" s="24"/>
      <c r="B27" s="80" t="s">
        <v>53</v>
      </c>
      <c r="C27" s="94" t="s">
        <v>359</v>
      </c>
      <c r="D27" s="82"/>
      <c r="E27" s="83"/>
      <c r="F27" s="24"/>
    </row>
    <row r="28" ht="25.6" spans="1:6">
      <c r="A28" s="24"/>
      <c r="B28" s="97" t="s">
        <v>54</v>
      </c>
      <c r="C28" s="77" t="s">
        <v>360</v>
      </c>
      <c r="D28" s="82" t="s">
        <v>361</v>
      </c>
      <c r="E28" s="83"/>
      <c r="F28" s="24"/>
    </row>
    <row r="29" ht="13.5" customHeight="1" spans="1:6">
      <c r="A29" s="24"/>
      <c r="B29" s="80" t="s">
        <v>55</v>
      </c>
      <c r="C29" s="98" t="s">
        <v>362</v>
      </c>
      <c r="D29" s="82"/>
      <c r="E29" s="83"/>
      <c r="F29" s="24"/>
    </row>
    <row r="30" ht="25.6" spans="1:6">
      <c r="A30" s="24"/>
      <c r="B30" s="88" t="s">
        <v>57</v>
      </c>
      <c r="C30" s="96" t="s">
        <v>363</v>
      </c>
      <c r="D30" s="89" t="s">
        <v>364</v>
      </c>
      <c r="E30" s="83"/>
      <c r="F30" s="24"/>
    </row>
    <row r="31" ht="12.75" customHeight="1" spans="1:6">
      <c r="A31" s="24"/>
      <c r="B31" s="73" t="s">
        <v>211</v>
      </c>
      <c r="C31" s="74"/>
      <c r="D31" s="74"/>
      <c r="E31" s="83"/>
      <c r="F31" s="24"/>
    </row>
    <row r="32" ht="51.75" customHeight="1" spans="1:6">
      <c r="A32" s="24"/>
      <c r="B32" s="76" t="s">
        <v>59</v>
      </c>
      <c r="C32" s="94" t="s">
        <v>365</v>
      </c>
      <c r="D32" s="99" t="s">
        <v>366</v>
      </c>
      <c r="E32" s="83"/>
      <c r="F32" s="24"/>
    </row>
    <row r="33" ht="66.75" customHeight="1" spans="1:6">
      <c r="A33" s="24"/>
      <c r="B33" s="97" t="s">
        <v>367</v>
      </c>
      <c r="C33" s="77" t="s">
        <v>368</v>
      </c>
      <c r="D33" s="78"/>
      <c r="E33" s="83"/>
      <c r="F33" s="24"/>
    </row>
    <row r="34" ht="81.75" customHeight="1" spans="1:6">
      <c r="A34" s="24"/>
      <c r="B34" s="97" t="s">
        <v>369</v>
      </c>
      <c r="C34" s="100" t="s">
        <v>370</v>
      </c>
      <c r="D34" s="78" t="s">
        <v>371</v>
      </c>
      <c r="E34" s="83"/>
      <c r="F34" s="24"/>
    </row>
    <row r="35" ht="13.5" customHeight="1" spans="1:6">
      <c r="A35" s="24"/>
      <c r="B35" s="80" t="s">
        <v>63</v>
      </c>
      <c r="C35" s="98" t="s">
        <v>372</v>
      </c>
      <c r="D35" s="82" t="s">
        <v>373</v>
      </c>
      <c r="E35" s="83"/>
      <c r="F35" s="24"/>
    </row>
    <row r="36" ht="14.25" customHeight="1" spans="1:6">
      <c r="A36" s="24"/>
      <c r="B36" s="95" t="s">
        <v>64</v>
      </c>
      <c r="C36" s="96" t="s">
        <v>374</v>
      </c>
      <c r="D36" s="89" t="s">
        <v>375</v>
      </c>
      <c r="E36" s="83"/>
      <c r="F36" s="24"/>
    </row>
    <row r="37" ht="13.35" spans="1:6">
      <c r="A37" s="24"/>
      <c r="B37" s="73" t="s">
        <v>213</v>
      </c>
      <c r="C37" s="74"/>
      <c r="D37" s="74"/>
      <c r="E37" s="83"/>
      <c r="F37" s="24"/>
    </row>
    <row r="38" ht="25.5" customHeight="1" spans="1:6">
      <c r="A38" s="24"/>
      <c r="B38" s="101" t="s">
        <v>66</v>
      </c>
      <c r="C38" s="93" t="s">
        <v>376</v>
      </c>
      <c r="D38" s="102" t="s">
        <v>377</v>
      </c>
      <c r="E38" s="83"/>
      <c r="F38" s="24"/>
    </row>
    <row r="39" ht="39.75" customHeight="1" spans="1:6">
      <c r="A39" s="24"/>
      <c r="B39" s="103" t="s">
        <v>214</v>
      </c>
      <c r="C39" s="104" t="s">
        <v>378</v>
      </c>
      <c r="D39" s="92"/>
      <c r="E39" s="83"/>
      <c r="F39" s="24"/>
    </row>
    <row r="40" ht="12.75" customHeight="1" spans="1:6">
      <c r="A40" s="24"/>
      <c r="B40" s="73" t="s">
        <v>215</v>
      </c>
      <c r="C40" s="74"/>
      <c r="D40" s="74"/>
      <c r="E40" s="105"/>
      <c r="F40" s="24"/>
    </row>
    <row r="41" ht="13.5" customHeight="1" spans="1:6">
      <c r="A41" s="24"/>
      <c r="B41" s="76" t="s">
        <v>69</v>
      </c>
      <c r="C41" s="94" t="s">
        <v>379</v>
      </c>
      <c r="D41" s="99" t="s">
        <v>380</v>
      </c>
      <c r="E41" s="106" t="s">
        <v>381</v>
      </c>
      <c r="F41" s="24"/>
    </row>
    <row r="42" ht="13.5" customHeight="1" spans="1:6">
      <c r="A42" s="24"/>
      <c r="B42" s="107" t="s">
        <v>70</v>
      </c>
      <c r="C42" s="98" t="s">
        <v>382</v>
      </c>
      <c r="D42" s="78"/>
      <c r="E42" s="106"/>
      <c r="F42" s="24"/>
    </row>
    <row r="43" ht="38.25" customHeight="1" spans="1:6">
      <c r="A43" s="24"/>
      <c r="B43" s="108" t="s">
        <v>216</v>
      </c>
      <c r="C43" s="98" t="s">
        <v>383</v>
      </c>
      <c r="D43" s="82" t="s">
        <v>384</v>
      </c>
      <c r="E43" s="106"/>
      <c r="F43" s="24"/>
    </row>
    <row r="44" ht="14.25" customHeight="1" spans="1:6">
      <c r="A44" s="24"/>
      <c r="B44" s="109" t="s">
        <v>219</v>
      </c>
      <c r="C44" s="110" t="s">
        <v>385</v>
      </c>
      <c r="D44" s="82"/>
      <c r="E44" s="106"/>
      <c r="F44" s="24"/>
    </row>
    <row r="45" ht="26.25" customHeight="1" spans="1:6">
      <c r="A45" s="24"/>
      <c r="B45" s="111" t="s">
        <v>220</v>
      </c>
      <c r="C45" s="112" t="s">
        <v>386</v>
      </c>
      <c r="D45" s="89"/>
      <c r="E45" s="106"/>
      <c r="F45" s="24"/>
    </row>
    <row r="46" ht="12.75" customHeight="1" spans="1:6">
      <c r="A46" s="24"/>
      <c r="B46" s="73" t="s">
        <v>221</v>
      </c>
      <c r="C46" s="74"/>
      <c r="D46" s="74"/>
      <c r="E46" s="106"/>
      <c r="F46" s="24"/>
    </row>
    <row r="47" ht="13.5" customHeight="1" spans="1:6">
      <c r="A47" s="24"/>
      <c r="B47" s="76" t="s">
        <v>73</v>
      </c>
      <c r="C47" s="94" t="s">
        <v>387</v>
      </c>
      <c r="D47" s="78"/>
      <c r="E47" s="106"/>
      <c r="F47" s="24"/>
    </row>
    <row r="48" ht="74.55" spans="1:6">
      <c r="A48" s="24"/>
      <c r="B48" s="108" t="s">
        <v>72</v>
      </c>
      <c r="C48" s="98" t="s">
        <v>388</v>
      </c>
      <c r="D48" s="82" t="s">
        <v>389</v>
      </c>
      <c r="E48" s="106"/>
      <c r="F48" s="24"/>
    </row>
    <row r="49" ht="13.5" customHeight="1" spans="1:6">
      <c r="A49" s="24"/>
      <c r="B49" s="108" t="s">
        <v>224</v>
      </c>
      <c r="C49" s="98" t="s">
        <v>390</v>
      </c>
      <c r="D49" s="82"/>
      <c r="E49" s="106"/>
      <c r="F49" s="24"/>
    </row>
    <row r="50" ht="13.5" customHeight="1" spans="1:6">
      <c r="A50" s="24"/>
      <c r="B50" s="108" t="s">
        <v>225</v>
      </c>
      <c r="C50" s="113" t="s">
        <v>391</v>
      </c>
      <c r="D50" s="82"/>
      <c r="E50" s="106"/>
      <c r="F50" s="24"/>
    </row>
    <row r="51" ht="13.5" customHeight="1" spans="1:6">
      <c r="A51" s="24"/>
      <c r="B51" s="108" t="s">
        <v>226</v>
      </c>
      <c r="C51" s="98" t="s">
        <v>392</v>
      </c>
      <c r="D51" s="82"/>
      <c r="E51" s="106"/>
      <c r="F51" s="24"/>
    </row>
    <row r="52" ht="39" customHeight="1" spans="1:6">
      <c r="A52" s="24"/>
      <c r="B52" s="114" t="s">
        <v>227</v>
      </c>
      <c r="C52" s="110" t="s">
        <v>393</v>
      </c>
      <c r="D52" s="115" t="s">
        <v>394</v>
      </c>
      <c r="E52" s="106"/>
      <c r="F52" s="24"/>
    </row>
    <row r="53" ht="13.5" customHeight="1" spans="1:6">
      <c r="A53" s="24"/>
      <c r="B53" s="116" t="s">
        <v>229</v>
      </c>
      <c r="C53" s="117" t="s">
        <v>395</v>
      </c>
      <c r="D53" s="118"/>
      <c r="E53" s="106"/>
      <c r="F53" s="24"/>
    </row>
    <row r="54" ht="39" customHeight="1" spans="1:6">
      <c r="A54" s="24"/>
      <c r="B54" s="116" t="s">
        <v>232</v>
      </c>
      <c r="C54" s="119" t="s">
        <v>396</v>
      </c>
      <c r="D54" s="120"/>
      <c r="E54" s="106"/>
      <c r="F54" s="24"/>
    </row>
    <row r="55" ht="28.5" customHeight="1" spans="1:6">
      <c r="A55" s="24"/>
      <c r="B55" s="121" t="s">
        <v>230</v>
      </c>
      <c r="C55" s="122" t="s">
        <v>397</v>
      </c>
      <c r="D55" s="123"/>
      <c r="E55" s="106"/>
      <c r="F55" s="24"/>
    </row>
    <row r="56" ht="12.75" customHeight="1" spans="1:6">
      <c r="A56" s="24"/>
      <c r="B56" s="73" t="s">
        <v>398</v>
      </c>
      <c r="C56" s="74"/>
      <c r="D56" s="74"/>
      <c r="E56" s="106"/>
      <c r="F56" s="24"/>
    </row>
    <row r="57" ht="13.5" customHeight="1" spans="1:6">
      <c r="A57" s="24"/>
      <c r="B57" s="124" t="s">
        <v>75</v>
      </c>
      <c r="C57" s="94" t="s">
        <v>399</v>
      </c>
      <c r="D57" s="78"/>
      <c r="E57" s="106"/>
      <c r="F57" s="24"/>
    </row>
    <row r="58" ht="13.5" customHeight="1" spans="1:6">
      <c r="A58" s="24"/>
      <c r="B58" s="107" t="s">
        <v>76</v>
      </c>
      <c r="C58" s="98" t="s">
        <v>400</v>
      </c>
      <c r="D58" s="82" t="s">
        <v>401</v>
      </c>
      <c r="E58" s="106"/>
      <c r="F58" s="24"/>
    </row>
    <row r="59" ht="13.5" customHeight="1" spans="1:6">
      <c r="A59" s="24"/>
      <c r="B59" s="107" t="s">
        <v>77</v>
      </c>
      <c r="C59" s="98" t="s">
        <v>402</v>
      </c>
      <c r="D59" s="82" t="s">
        <v>401</v>
      </c>
      <c r="E59" s="106"/>
      <c r="F59" s="24"/>
    </row>
    <row r="60" ht="13.5" customHeight="1" spans="1:6">
      <c r="A60" s="24"/>
      <c r="B60" s="107" t="s">
        <v>235</v>
      </c>
      <c r="C60" s="98" t="s">
        <v>403</v>
      </c>
      <c r="D60" s="82"/>
      <c r="E60" s="106"/>
      <c r="F60" s="24"/>
    </row>
    <row r="61" ht="13.5" customHeight="1" spans="1:6">
      <c r="A61" s="24"/>
      <c r="B61" s="107" t="s">
        <v>236</v>
      </c>
      <c r="C61" s="113" t="s">
        <v>404</v>
      </c>
      <c r="D61" s="82" t="s">
        <v>401</v>
      </c>
      <c r="E61" s="106"/>
      <c r="F61" s="24"/>
    </row>
    <row r="62" ht="14.25" customHeight="1" spans="1:6">
      <c r="A62" s="24"/>
      <c r="B62" s="125" t="s">
        <v>237</v>
      </c>
      <c r="C62" s="96" t="s">
        <v>405</v>
      </c>
      <c r="D62" s="89" t="s">
        <v>406</v>
      </c>
      <c r="E62" s="106"/>
      <c r="F62" s="24"/>
    </row>
    <row r="63" ht="12.75" customHeight="1" spans="1:6">
      <c r="A63" s="24"/>
      <c r="B63" s="73" t="s">
        <v>238</v>
      </c>
      <c r="C63" s="74"/>
      <c r="D63" s="74"/>
      <c r="E63" s="106"/>
      <c r="F63" s="24"/>
    </row>
    <row r="64" ht="13.5" customHeight="1" spans="1:6">
      <c r="A64" s="24"/>
      <c r="B64" s="126" t="s">
        <v>239</v>
      </c>
      <c r="C64" s="77" t="s">
        <v>407</v>
      </c>
      <c r="D64" s="78" t="s">
        <v>408</v>
      </c>
      <c r="E64" s="106"/>
      <c r="F64" s="24"/>
    </row>
    <row r="65" ht="13.5" customHeight="1" spans="1:6">
      <c r="A65" s="24"/>
      <c r="B65" s="127" t="s">
        <v>241</v>
      </c>
      <c r="C65" s="77" t="s">
        <v>409</v>
      </c>
      <c r="D65" s="82" t="s">
        <v>410</v>
      </c>
      <c r="E65" s="106"/>
      <c r="F65" s="24"/>
    </row>
    <row r="66" ht="24.85" spans="1:6">
      <c r="A66" s="24"/>
      <c r="B66" s="127" t="s">
        <v>411</v>
      </c>
      <c r="C66" s="81" t="s">
        <v>412</v>
      </c>
      <c r="D66" s="82" t="s">
        <v>413</v>
      </c>
      <c r="E66" s="106"/>
      <c r="F66" s="24"/>
    </row>
    <row r="67" ht="24.85" spans="1:6">
      <c r="A67" s="24"/>
      <c r="B67" s="127" t="s">
        <v>414</v>
      </c>
      <c r="C67" s="81" t="s">
        <v>415</v>
      </c>
      <c r="D67" s="82" t="s">
        <v>416</v>
      </c>
      <c r="E67" s="106"/>
      <c r="F67" s="24"/>
    </row>
    <row r="68" ht="24.85" spans="1:6">
      <c r="A68" s="24"/>
      <c r="B68" s="127" t="s">
        <v>417</v>
      </c>
      <c r="C68" s="81" t="s">
        <v>418</v>
      </c>
      <c r="D68" s="82" t="s">
        <v>419</v>
      </c>
      <c r="E68" s="106"/>
      <c r="F68" s="24"/>
    </row>
    <row r="69" ht="13.05" spans="1:6">
      <c r="A69" s="24"/>
      <c r="B69" s="127" t="s">
        <v>420</v>
      </c>
      <c r="C69" s="81" t="s">
        <v>421</v>
      </c>
      <c r="D69" s="82" t="s">
        <v>422</v>
      </c>
      <c r="E69" s="106"/>
      <c r="F69" s="24"/>
    </row>
    <row r="70" ht="24.85" spans="1:6">
      <c r="A70" s="24"/>
      <c r="B70" s="127" t="s">
        <v>423</v>
      </c>
      <c r="C70" s="81" t="s">
        <v>424</v>
      </c>
      <c r="D70" s="82" t="s">
        <v>425</v>
      </c>
      <c r="E70" s="106"/>
      <c r="F70" s="24"/>
    </row>
    <row r="71" ht="24.85" spans="1:6">
      <c r="A71" s="24"/>
      <c r="B71" s="127" t="s">
        <v>426</v>
      </c>
      <c r="C71" s="81" t="s">
        <v>427</v>
      </c>
      <c r="D71" s="82" t="s">
        <v>428</v>
      </c>
      <c r="E71" s="106"/>
      <c r="F71" s="24"/>
    </row>
    <row r="72" ht="24.85" spans="1:6">
      <c r="A72" s="24"/>
      <c r="B72" s="127" t="s">
        <v>429</v>
      </c>
      <c r="C72" s="81" t="s">
        <v>430</v>
      </c>
      <c r="D72" s="82" t="s">
        <v>419</v>
      </c>
      <c r="E72" s="106"/>
      <c r="F72" s="24"/>
    </row>
    <row r="73" ht="37.3" spans="1:6">
      <c r="A73" s="24"/>
      <c r="B73" s="114" t="s">
        <v>258</v>
      </c>
      <c r="C73" s="128" t="s">
        <v>431</v>
      </c>
      <c r="D73" s="115" t="s">
        <v>432</v>
      </c>
      <c r="E73" s="106"/>
      <c r="F73" s="24"/>
    </row>
    <row r="74" ht="24.85" spans="1:6">
      <c r="A74" s="24"/>
      <c r="B74" s="114" t="s">
        <v>433</v>
      </c>
      <c r="C74" s="112" t="s">
        <v>434</v>
      </c>
      <c r="D74" s="115" t="s">
        <v>435</v>
      </c>
      <c r="E74" s="106"/>
      <c r="F74" s="24"/>
    </row>
    <row r="75" ht="25.6" spans="1:6">
      <c r="A75" s="24"/>
      <c r="B75" s="114" t="s">
        <v>436</v>
      </c>
      <c r="C75" s="112" t="s">
        <v>434</v>
      </c>
      <c r="D75" s="115" t="s">
        <v>435</v>
      </c>
      <c r="E75" s="106"/>
      <c r="F75" s="24"/>
    </row>
    <row r="76" ht="12.75" customHeight="1" spans="1:6">
      <c r="A76" s="24"/>
      <c r="B76" s="73" t="s">
        <v>263</v>
      </c>
      <c r="C76" s="74"/>
      <c r="D76" s="74"/>
      <c r="E76" s="129"/>
      <c r="F76" s="24"/>
    </row>
    <row r="77" ht="128.25" customHeight="1" spans="1:6">
      <c r="A77" s="24"/>
      <c r="B77" s="76" t="s">
        <v>79</v>
      </c>
      <c r="C77" s="94" t="s">
        <v>437</v>
      </c>
      <c r="D77" s="78" t="s">
        <v>438</v>
      </c>
      <c r="E77" s="130" t="s">
        <v>439</v>
      </c>
      <c r="F77" s="24"/>
    </row>
    <row r="78" ht="25.6" spans="1:6">
      <c r="A78" s="24"/>
      <c r="B78" s="95" t="s">
        <v>81</v>
      </c>
      <c r="C78" s="96" t="s">
        <v>440</v>
      </c>
      <c r="D78" s="89" t="s">
        <v>441</v>
      </c>
      <c r="E78" s="131"/>
      <c r="F78" s="24"/>
    </row>
    <row r="79" ht="12.75" customHeight="1" spans="1:6">
      <c r="A79" s="24"/>
      <c r="B79" s="73" t="s">
        <v>265</v>
      </c>
      <c r="C79" s="74"/>
      <c r="D79" s="74"/>
      <c r="E79" s="131"/>
      <c r="F79" s="24"/>
    </row>
    <row r="80" ht="25.6" spans="1:6">
      <c r="A80" s="24"/>
      <c r="B80" s="76" t="s">
        <v>83</v>
      </c>
      <c r="C80" s="77" t="s">
        <v>442</v>
      </c>
      <c r="D80" s="78"/>
      <c r="E80" s="131"/>
      <c r="F80" s="24"/>
    </row>
    <row r="81" ht="25.6" spans="1:6">
      <c r="A81" s="24"/>
      <c r="B81" s="80" t="s">
        <v>443</v>
      </c>
      <c r="C81" s="132" t="s">
        <v>444</v>
      </c>
      <c r="D81" s="82" t="s">
        <v>445</v>
      </c>
      <c r="E81" s="131"/>
      <c r="F81" s="24"/>
    </row>
    <row r="82" ht="50.45" spans="1:6">
      <c r="A82" s="24"/>
      <c r="B82" s="80" t="s">
        <v>85</v>
      </c>
      <c r="C82" s="113" t="s">
        <v>446</v>
      </c>
      <c r="D82" s="82" t="s">
        <v>447</v>
      </c>
      <c r="E82" s="131"/>
      <c r="F82" s="24"/>
    </row>
    <row r="83" ht="50.45" spans="1:6">
      <c r="A83" s="24"/>
      <c r="B83" s="87" t="s">
        <v>89</v>
      </c>
      <c r="C83" s="84" t="s">
        <v>448</v>
      </c>
      <c r="D83" s="85" t="s">
        <v>449</v>
      </c>
      <c r="E83" s="131"/>
      <c r="F83" s="24"/>
    </row>
    <row r="84" ht="24.75" customHeight="1" spans="1:6">
      <c r="A84" s="24"/>
      <c r="B84" s="133" t="s">
        <v>450</v>
      </c>
      <c r="C84" s="81" t="s">
        <v>451</v>
      </c>
      <c r="D84" s="82" t="s">
        <v>452</v>
      </c>
      <c r="E84" s="131"/>
      <c r="F84" s="24"/>
    </row>
    <row r="85" ht="24.75" customHeight="1" spans="1:6">
      <c r="A85" s="24"/>
      <c r="B85" s="133" t="s">
        <v>87</v>
      </c>
      <c r="C85" s="77" t="s">
        <v>453</v>
      </c>
      <c r="D85" s="82" t="s">
        <v>454</v>
      </c>
      <c r="E85" s="131"/>
      <c r="F85" s="24"/>
    </row>
    <row r="86" ht="15" customHeight="1" spans="1:6">
      <c r="A86" s="24"/>
      <c r="B86" s="134" t="s">
        <v>90</v>
      </c>
      <c r="C86" s="94" t="s">
        <v>455</v>
      </c>
      <c r="D86" s="82" t="s">
        <v>456</v>
      </c>
      <c r="E86" s="131"/>
      <c r="F86" s="24"/>
    </row>
    <row r="87" ht="129.75" customHeight="1" spans="1:6">
      <c r="A87" s="24"/>
      <c r="B87" s="88" t="s">
        <v>457</v>
      </c>
      <c r="C87" s="135" t="s">
        <v>458</v>
      </c>
      <c r="D87" s="89" t="s">
        <v>459</v>
      </c>
      <c r="E87" s="131"/>
      <c r="F87" s="24"/>
    </row>
    <row r="88" ht="12.6" spans="1:6">
      <c r="A88" s="24"/>
      <c r="B88" s="73" t="s">
        <v>460</v>
      </c>
      <c r="C88" s="74"/>
      <c r="D88" s="136"/>
      <c r="E88" s="75"/>
      <c r="F88" s="24"/>
    </row>
    <row r="89" ht="25.6" spans="1:6">
      <c r="A89" s="24"/>
      <c r="B89" s="97" t="s">
        <v>461</v>
      </c>
      <c r="C89" s="77" t="s">
        <v>462</v>
      </c>
      <c r="D89" s="77"/>
      <c r="E89" s="79" t="s">
        <v>463</v>
      </c>
      <c r="F89" s="24"/>
    </row>
    <row r="90" ht="25.6" spans="1:6">
      <c r="A90" s="24"/>
      <c r="B90" s="133" t="s">
        <v>464</v>
      </c>
      <c r="C90" s="77" t="s">
        <v>465</v>
      </c>
      <c r="D90" s="77"/>
      <c r="E90" s="83"/>
      <c r="F90" s="24"/>
    </row>
    <row r="91" ht="50.45" spans="1:6">
      <c r="A91" s="24"/>
      <c r="B91" s="133" t="s">
        <v>466</v>
      </c>
      <c r="C91" s="77" t="s">
        <v>467</v>
      </c>
      <c r="D91" s="78" t="s">
        <v>468</v>
      </c>
      <c r="E91" s="83"/>
      <c r="F91" s="24"/>
    </row>
    <row r="92" ht="38.05" spans="1:6">
      <c r="A92" s="24"/>
      <c r="B92" s="133" t="s">
        <v>469</v>
      </c>
      <c r="C92" s="77" t="s">
        <v>470</v>
      </c>
      <c r="D92" s="78" t="s">
        <v>471</v>
      </c>
      <c r="E92" s="83"/>
      <c r="F92" s="24"/>
    </row>
    <row r="93" ht="25.6" spans="1:6">
      <c r="A93" s="24"/>
      <c r="B93" s="133" t="s">
        <v>472</v>
      </c>
      <c r="C93" s="77" t="s">
        <v>473</v>
      </c>
      <c r="D93" s="89" t="s">
        <v>474</v>
      </c>
      <c r="E93" s="83"/>
      <c r="F93" s="24"/>
    </row>
    <row r="94" ht="25.6" spans="1:6">
      <c r="A94" s="24"/>
      <c r="B94" s="88" t="s">
        <v>475</v>
      </c>
      <c r="C94" s="137" t="s">
        <v>476</v>
      </c>
      <c r="D94" s="92"/>
      <c r="E94" s="83"/>
      <c r="F94" s="24"/>
    </row>
    <row r="95" ht="13.35" spans="1:6">
      <c r="A95" s="24"/>
      <c r="B95" s="138" t="s">
        <v>477</v>
      </c>
      <c r="C95" s="74"/>
      <c r="D95" s="136"/>
      <c r="E95" s="83"/>
      <c r="F95" s="24"/>
    </row>
    <row r="96" ht="13.8" spans="1:6">
      <c r="A96" s="24"/>
      <c r="B96" s="124" t="s">
        <v>102</v>
      </c>
      <c r="C96" s="94" t="s">
        <v>478</v>
      </c>
      <c r="D96" s="99" t="s">
        <v>479</v>
      </c>
      <c r="E96" s="83"/>
      <c r="F96" s="24"/>
    </row>
    <row r="97" ht="13.8" spans="1:6">
      <c r="A97" s="24"/>
      <c r="B97" s="107" t="s">
        <v>104</v>
      </c>
      <c r="C97" s="98" t="s">
        <v>480</v>
      </c>
      <c r="D97" s="99"/>
      <c r="E97" s="83"/>
      <c r="F97" s="24"/>
    </row>
    <row r="98" ht="13.8" spans="1:6">
      <c r="A98" s="24"/>
      <c r="B98" s="124" t="s">
        <v>106</v>
      </c>
      <c r="C98" s="94" t="s">
        <v>481</v>
      </c>
      <c r="D98" s="99"/>
      <c r="E98" s="83"/>
      <c r="F98" s="24"/>
    </row>
    <row r="99" ht="13.8" spans="1:6">
      <c r="A99" s="24"/>
      <c r="B99" s="107" t="s">
        <v>107</v>
      </c>
      <c r="C99" s="98" t="s">
        <v>482</v>
      </c>
      <c r="D99" s="99"/>
      <c r="E99" s="83"/>
      <c r="F99" s="24"/>
    </row>
    <row r="100" ht="13.8" spans="1:6">
      <c r="A100" s="24"/>
      <c r="B100" s="124" t="s">
        <v>108</v>
      </c>
      <c r="C100" s="94" t="s">
        <v>483</v>
      </c>
      <c r="D100" s="99"/>
      <c r="E100" s="83"/>
      <c r="F100" s="24"/>
    </row>
    <row r="101" ht="13.8" spans="1:6">
      <c r="A101" s="24"/>
      <c r="B101" s="107" t="s">
        <v>109</v>
      </c>
      <c r="C101" s="98" t="s">
        <v>484</v>
      </c>
      <c r="D101" s="99"/>
      <c r="E101" s="83"/>
      <c r="F101" s="24"/>
    </row>
    <row r="102" ht="13.8" spans="1:6">
      <c r="A102" s="24"/>
      <c r="B102" s="124" t="s">
        <v>110</v>
      </c>
      <c r="C102" s="94" t="s">
        <v>485</v>
      </c>
      <c r="D102" s="99"/>
      <c r="E102" s="83"/>
      <c r="F102" s="24"/>
    </row>
    <row r="103" ht="13.8" spans="1:6">
      <c r="A103" s="24"/>
      <c r="B103" s="107" t="s">
        <v>111</v>
      </c>
      <c r="C103" s="98" t="s">
        <v>486</v>
      </c>
      <c r="D103" s="78"/>
      <c r="E103" s="83"/>
      <c r="F103" s="24"/>
    </row>
    <row r="104" ht="13.8" spans="1:6">
      <c r="A104" s="24"/>
      <c r="B104" s="107" t="s">
        <v>278</v>
      </c>
      <c r="C104" s="98" t="s">
        <v>487</v>
      </c>
      <c r="D104" s="82" t="s">
        <v>488</v>
      </c>
      <c r="E104" s="83"/>
      <c r="F104" s="24"/>
    </row>
    <row r="105" ht="13.8" spans="1:6">
      <c r="A105" s="24"/>
      <c r="B105" s="107" t="s">
        <v>279</v>
      </c>
      <c r="C105" s="98" t="s">
        <v>489</v>
      </c>
      <c r="D105" s="82"/>
      <c r="E105" s="83"/>
      <c r="F105" s="24"/>
    </row>
    <row r="106" ht="38.05" spans="1:6">
      <c r="A106" s="24"/>
      <c r="B106" s="133" t="s">
        <v>280</v>
      </c>
      <c r="C106" s="81" t="s">
        <v>490</v>
      </c>
      <c r="D106" s="82" t="s">
        <v>491</v>
      </c>
      <c r="E106" s="83"/>
      <c r="F106" s="24"/>
    </row>
    <row r="107" ht="25.6" spans="1:6">
      <c r="A107" s="24"/>
      <c r="B107" s="108" t="s">
        <v>281</v>
      </c>
      <c r="C107" s="100" t="s">
        <v>492</v>
      </c>
      <c r="D107" s="139" t="s">
        <v>493</v>
      </c>
      <c r="E107" s="83"/>
      <c r="F107" s="24"/>
    </row>
    <row r="108" ht="25.6" spans="1:6">
      <c r="A108" s="24"/>
      <c r="B108" s="88" t="s">
        <v>282</v>
      </c>
      <c r="C108" s="100" t="s">
        <v>494</v>
      </c>
      <c r="D108" s="140"/>
      <c r="E108" s="83"/>
      <c r="F108" s="24"/>
    </row>
    <row r="109" ht="13.35" spans="1:6">
      <c r="A109" s="24"/>
      <c r="B109" s="73" t="s">
        <v>495</v>
      </c>
      <c r="C109" s="74"/>
      <c r="D109" s="136"/>
      <c r="E109" s="83"/>
      <c r="F109" s="24"/>
    </row>
    <row r="110" ht="38.25" customHeight="1" spans="1:6">
      <c r="A110" s="24"/>
      <c r="B110" s="97" t="s">
        <v>113</v>
      </c>
      <c r="C110" s="77" t="s">
        <v>496</v>
      </c>
      <c r="D110" s="99" t="s">
        <v>497</v>
      </c>
      <c r="E110" s="83"/>
      <c r="F110" s="24"/>
    </row>
    <row r="111" ht="25.6" spans="1:6">
      <c r="A111" s="24"/>
      <c r="B111" s="133" t="s">
        <v>498</v>
      </c>
      <c r="C111" s="84" t="s">
        <v>499</v>
      </c>
      <c r="D111" s="99"/>
      <c r="E111" s="83"/>
      <c r="F111" s="24"/>
    </row>
    <row r="112" ht="25.6" spans="1:6">
      <c r="A112" s="24"/>
      <c r="B112" s="133" t="s">
        <v>500</v>
      </c>
      <c r="C112" s="84" t="s">
        <v>501</v>
      </c>
      <c r="D112" s="99"/>
      <c r="E112" s="83"/>
      <c r="F112" s="24"/>
    </row>
    <row r="113" ht="13.8" spans="1:6">
      <c r="A113" s="24"/>
      <c r="B113" s="133" t="s">
        <v>502</v>
      </c>
      <c r="C113" s="84" t="s">
        <v>503</v>
      </c>
      <c r="D113" s="78"/>
      <c r="E113" s="83"/>
      <c r="F113" s="24"/>
    </row>
    <row r="114" ht="25.6" spans="1:6">
      <c r="A114" s="24"/>
      <c r="B114" s="133" t="s">
        <v>504</v>
      </c>
      <c r="C114" s="84" t="s">
        <v>505</v>
      </c>
      <c r="D114" s="78" t="s">
        <v>506</v>
      </c>
      <c r="E114" s="83"/>
      <c r="F114" s="24"/>
    </row>
    <row r="115" ht="38.05" spans="1:6">
      <c r="A115" s="24"/>
      <c r="B115" s="133" t="s">
        <v>507</v>
      </c>
      <c r="C115" s="84" t="s">
        <v>508</v>
      </c>
      <c r="D115" s="78" t="s">
        <v>509</v>
      </c>
      <c r="E115" s="83"/>
      <c r="F115" s="24"/>
    </row>
    <row r="116" ht="25.6" spans="1:6">
      <c r="A116" s="24"/>
      <c r="B116" s="88" t="s">
        <v>510</v>
      </c>
      <c r="C116" s="137" t="s">
        <v>511</v>
      </c>
      <c r="D116" s="89" t="s">
        <v>512</v>
      </c>
      <c r="E116" s="83"/>
      <c r="F116" s="24"/>
    </row>
    <row r="117" ht="13.35" spans="1:6">
      <c r="A117" s="24"/>
      <c r="B117" s="73" t="s">
        <v>294</v>
      </c>
      <c r="C117" s="74"/>
      <c r="D117" s="136"/>
      <c r="E117" s="83"/>
      <c r="F117" s="24"/>
    </row>
    <row r="118" ht="25.6" spans="1:6">
      <c r="A118" s="24"/>
      <c r="B118" s="97" t="s">
        <v>513</v>
      </c>
      <c r="C118" s="77" t="s">
        <v>514</v>
      </c>
      <c r="D118" s="78" t="s">
        <v>515</v>
      </c>
      <c r="E118" s="83"/>
      <c r="F118" s="24"/>
    </row>
    <row r="119" ht="13.8" spans="1:6">
      <c r="A119" s="24"/>
      <c r="B119" s="133" t="s">
        <v>516</v>
      </c>
      <c r="C119" s="94" t="s">
        <v>517</v>
      </c>
      <c r="D119" s="89" t="s">
        <v>518</v>
      </c>
      <c r="E119" s="83"/>
      <c r="F119" s="24"/>
    </row>
    <row r="120" ht="25.5" customHeight="1" spans="1:6">
      <c r="A120" s="24"/>
      <c r="B120" s="88" t="s">
        <v>519</v>
      </c>
      <c r="C120" s="137" t="s">
        <v>520</v>
      </c>
      <c r="D120" s="92"/>
      <c r="E120" s="83"/>
      <c r="F120" s="24"/>
    </row>
    <row r="121" ht="13.5" customHeight="1" spans="1:6">
      <c r="A121" s="24"/>
      <c r="B121" s="73" t="s">
        <v>298</v>
      </c>
      <c r="C121" s="74"/>
      <c r="D121" s="136"/>
      <c r="E121" s="75"/>
      <c r="F121" s="24"/>
    </row>
    <row r="122" ht="66" customHeight="1" spans="1:6">
      <c r="A122" s="24"/>
      <c r="B122" s="80" t="s">
        <v>125</v>
      </c>
      <c r="C122" s="77" t="s">
        <v>521</v>
      </c>
      <c r="D122" s="78" t="s">
        <v>522</v>
      </c>
      <c r="E122" s="141"/>
      <c r="F122" s="24"/>
    </row>
    <row r="123" ht="42" customHeight="1" spans="1:6">
      <c r="A123" s="24"/>
      <c r="B123" s="88" t="s">
        <v>126</v>
      </c>
      <c r="C123" s="137" t="s">
        <v>523</v>
      </c>
      <c r="D123" s="89" t="s">
        <v>524</v>
      </c>
      <c r="E123" s="141"/>
      <c r="F123" s="24"/>
    </row>
    <row r="124" ht="15" customHeight="1" spans="1:6">
      <c r="A124" s="24"/>
      <c r="B124" s="138" t="s">
        <v>299</v>
      </c>
      <c r="C124" s="74"/>
      <c r="D124" s="136"/>
      <c r="E124" s="141"/>
      <c r="F124" s="24"/>
    </row>
    <row r="125" ht="15.75" customHeight="1" spans="1:6">
      <c r="A125" s="24"/>
      <c r="B125" s="76" t="s">
        <v>128</v>
      </c>
      <c r="C125" s="94" t="s">
        <v>525</v>
      </c>
      <c r="D125" s="78"/>
      <c r="E125" s="141"/>
      <c r="F125" s="24"/>
    </row>
    <row r="126" ht="15" customHeight="1" spans="1:6">
      <c r="A126" s="24"/>
      <c r="B126" s="80" t="s">
        <v>129</v>
      </c>
      <c r="C126" s="94" t="s">
        <v>526</v>
      </c>
      <c r="D126" s="82"/>
      <c r="E126" s="141"/>
      <c r="F126" s="24"/>
    </row>
    <row r="127" ht="25.5" customHeight="1" spans="1:6">
      <c r="A127" s="24"/>
      <c r="B127" s="95" t="s">
        <v>130</v>
      </c>
      <c r="C127" s="96" t="s">
        <v>527</v>
      </c>
      <c r="D127" s="89" t="s">
        <v>528</v>
      </c>
      <c r="E127" s="141"/>
      <c r="F127" s="24"/>
    </row>
    <row r="128" ht="12.6" spans="1:6">
      <c r="A128" s="24"/>
      <c r="B128" s="73" t="s">
        <v>300</v>
      </c>
      <c r="C128" s="74"/>
      <c r="D128" s="136"/>
      <c r="E128" s="142"/>
      <c r="F128" s="24"/>
    </row>
    <row r="129" ht="50.9" spans="1:6">
      <c r="A129" s="24"/>
      <c r="B129" s="126" t="s">
        <v>529</v>
      </c>
      <c r="C129" s="100" t="s">
        <v>530</v>
      </c>
      <c r="D129" s="78" t="s">
        <v>531</v>
      </c>
      <c r="E129" s="79" t="s">
        <v>532</v>
      </c>
      <c r="F129" s="24"/>
    </row>
    <row r="130" ht="38.25" customHeight="1" spans="1:6">
      <c r="A130" s="24"/>
      <c r="B130" s="108" t="s">
        <v>533</v>
      </c>
      <c r="C130" s="132" t="s">
        <v>534</v>
      </c>
      <c r="D130" s="82" t="s">
        <v>535</v>
      </c>
      <c r="E130" s="83"/>
      <c r="F130" s="24"/>
    </row>
    <row r="131" ht="38.25" spans="1:6">
      <c r="A131" s="24"/>
      <c r="B131" s="108" t="s">
        <v>536</v>
      </c>
      <c r="C131" s="132" t="s">
        <v>537</v>
      </c>
      <c r="D131" s="89" t="s">
        <v>538</v>
      </c>
      <c r="E131" s="83"/>
      <c r="F131" s="24"/>
    </row>
    <row r="132" ht="39" customHeight="1" spans="1:6">
      <c r="A132" s="24"/>
      <c r="B132" s="143" t="s">
        <v>539</v>
      </c>
      <c r="C132" s="135" t="s">
        <v>540</v>
      </c>
      <c r="D132" s="92"/>
      <c r="E132" s="83"/>
      <c r="F132" s="24"/>
    </row>
    <row r="133" ht="13.35" spans="1:6">
      <c r="A133" s="24"/>
      <c r="B133" s="73" t="s">
        <v>305</v>
      </c>
      <c r="C133" s="74"/>
      <c r="D133" s="136"/>
      <c r="E133" s="83"/>
      <c r="F133" s="24"/>
    </row>
    <row r="134" ht="13.8" spans="1:6">
      <c r="A134" s="24"/>
      <c r="B134" s="76" t="s">
        <v>137</v>
      </c>
      <c r="C134" s="94" t="s">
        <v>541</v>
      </c>
      <c r="D134" s="78"/>
      <c r="E134" s="83"/>
      <c r="F134" s="24"/>
    </row>
    <row r="135" ht="13.8" spans="1:6">
      <c r="A135" s="24"/>
      <c r="B135" s="80" t="s">
        <v>139</v>
      </c>
      <c r="C135" s="98" t="s">
        <v>542</v>
      </c>
      <c r="D135" s="82" t="s">
        <v>543</v>
      </c>
      <c r="E135" s="83"/>
      <c r="F135" s="24"/>
    </row>
    <row r="136" ht="50.45" spans="1:6">
      <c r="A136" s="24"/>
      <c r="B136" s="95" t="s">
        <v>140</v>
      </c>
      <c r="C136" s="137" t="s">
        <v>544</v>
      </c>
      <c r="D136" s="89" t="s">
        <v>545</v>
      </c>
      <c r="E136" s="83"/>
      <c r="F136" s="24"/>
    </row>
    <row r="137" ht="13.35" spans="1:6">
      <c r="A137" s="24"/>
      <c r="B137" s="73" t="s">
        <v>306</v>
      </c>
      <c r="C137" s="74"/>
      <c r="D137" s="136"/>
      <c r="E137" s="83"/>
      <c r="F137" s="24"/>
    </row>
    <row r="138" ht="13.8" spans="1:6">
      <c r="A138" s="24"/>
      <c r="B138" s="76" t="s">
        <v>142</v>
      </c>
      <c r="C138" s="94" t="s">
        <v>546</v>
      </c>
      <c r="D138" s="78"/>
      <c r="E138" s="83"/>
      <c r="F138" s="24"/>
    </row>
    <row r="139" ht="38.25" customHeight="1" spans="1:6">
      <c r="A139" s="24"/>
      <c r="B139" s="80" t="s">
        <v>144</v>
      </c>
      <c r="C139" s="81" t="s">
        <v>547</v>
      </c>
      <c r="D139" s="89" t="s">
        <v>548</v>
      </c>
      <c r="E139" s="83"/>
      <c r="F139" s="24"/>
    </row>
    <row r="140" ht="38.05" spans="1:6">
      <c r="A140" s="24"/>
      <c r="B140" s="95" t="s">
        <v>145</v>
      </c>
      <c r="C140" s="135" t="s">
        <v>549</v>
      </c>
      <c r="D140" s="92"/>
      <c r="E140" s="83"/>
      <c r="F140" s="24"/>
    </row>
    <row r="141" ht="12.6" spans="1:6">
      <c r="A141" s="24"/>
      <c r="B141" s="73" t="s">
        <v>307</v>
      </c>
      <c r="C141" s="74"/>
      <c r="D141" s="136"/>
      <c r="E141" s="144"/>
      <c r="F141" s="24"/>
    </row>
    <row r="142" ht="13.05" spans="1:6">
      <c r="A142" s="24"/>
      <c r="B142" s="76" t="s">
        <v>308</v>
      </c>
      <c r="C142" s="94" t="s">
        <v>550</v>
      </c>
      <c r="D142" s="78"/>
      <c r="E142" s="141" t="s">
        <v>551</v>
      </c>
      <c r="F142" s="24"/>
    </row>
    <row r="143" ht="25.6" spans="1:6">
      <c r="A143" s="24"/>
      <c r="B143" s="95" t="s">
        <v>309</v>
      </c>
      <c r="C143" s="96" t="s">
        <v>552</v>
      </c>
      <c r="D143" s="89" t="s">
        <v>553</v>
      </c>
      <c r="E143" s="141"/>
      <c r="F143" s="24"/>
    </row>
    <row r="144" ht="15" customHeight="1" spans="1:6">
      <c r="A144" s="24"/>
      <c r="B144" s="73" t="s">
        <v>310</v>
      </c>
      <c r="C144" s="74"/>
      <c r="D144" s="136"/>
      <c r="E144" s="141"/>
      <c r="F144" s="24"/>
    </row>
    <row r="145" ht="13.05" spans="1:6">
      <c r="A145" s="24"/>
      <c r="B145" s="124" t="s">
        <v>311</v>
      </c>
      <c r="C145" s="94" t="s">
        <v>554</v>
      </c>
      <c r="D145" s="78"/>
      <c r="E145" s="141"/>
      <c r="F145" s="24"/>
    </row>
    <row r="146" ht="13.05" spans="1:6">
      <c r="A146" s="24"/>
      <c r="B146" s="124" t="s">
        <v>313</v>
      </c>
      <c r="C146" s="94" t="s">
        <v>555</v>
      </c>
      <c r="D146" s="78"/>
      <c r="E146" s="141"/>
      <c r="F146" s="24"/>
    </row>
    <row r="147" ht="13.05" spans="1:6">
      <c r="A147" s="24"/>
      <c r="B147" s="107" t="s">
        <v>315</v>
      </c>
      <c r="C147" s="98" t="s">
        <v>556</v>
      </c>
      <c r="D147" s="82"/>
      <c r="E147" s="141"/>
      <c r="F147" s="24"/>
    </row>
    <row r="148" ht="27" customHeight="1" spans="1:6">
      <c r="A148" s="24"/>
      <c r="B148" s="107" t="s">
        <v>317</v>
      </c>
      <c r="C148" s="98" t="s">
        <v>557</v>
      </c>
      <c r="D148" s="82"/>
      <c r="E148" s="141"/>
      <c r="F148" s="24"/>
    </row>
    <row r="149" ht="13.8" spans="1:6">
      <c r="A149" s="24"/>
      <c r="B149" s="125" t="s">
        <v>318</v>
      </c>
      <c r="C149" s="96" t="s">
        <v>558</v>
      </c>
      <c r="D149" s="89"/>
      <c r="E149" s="141"/>
      <c r="F149" s="24"/>
    </row>
    <row r="150" ht="12.6" spans="1:6">
      <c r="A150" s="24"/>
      <c r="B150" s="73" t="s">
        <v>319</v>
      </c>
      <c r="C150" s="74"/>
      <c r="D150" s="136"/>
      <c r="E150" s="141"/>
      <c r="F150" s="24"/>
    </row>
    <row r="151" ht="13.05" spans="1:6">
      <c r="A151" s="24"/>
      <c r="B151" s="76" t="s">
        <v>320</v>
      </c>
      <c r="C151" s="94" t="s">
        <v>559</v>
      </c>
      <c r="D151" s="78"/>
      <c r="E151" s="141"/>
      <c r="F151" s="24"/>
    </row>
    <row r="152" ht="13.8" spans="1:6">
      <c r="A152" s="24"/>
      <c r="B152" s="101" t="s">
        <v>322</v>
      </c>
      <c r="C152" s="145" t="s">
        <v>560</v>
      </c>
      <c r="D152" s="102"/>
      <c r="E152" s="79"/>
      <c r="F152" s="24"/>
    </row>
    <row r="153" spans="1:6">
      <c r="A153" s="24"/>
      <c r="B153" s="24"/>
      <c r="C153" s="24"/>
      <c r="D153" s="24"/>
      <c r="E153" s="24"/>
      <c r="F153" s="24"/>
    </row>
  </sheetData>
  <mergeCells count="23">
    <mergeCell ref="B2:C2"/>
    <mergeCell ref="B16:B21"/>
    <mergeCell ref="D16:D21"/>
    <mergeCell ref="D32:D33"/>
    <mergeCell ref="D38:D39"/>
    <mergeCell ref="D41:D42"/>
    <mergeCell ref="D43:D44"/>
    <mergeCell ref="D52:D53"/>
    <mergeCell ref="D93:D94"/>
    <mergeCell ref="D96:D103"/>
    <mergeCell ref="D104:D105"/>
    <mergeCell ref="D107:D108"/>
    <mergeCell ref="D110:D113"/>
    <mergeCell ref="D119:D120"/>
    <mergeCell ref="D131:D132"/>
    <mergeCell ref="D139:D140"/>
    <mergeCell ref="E6:E39"/>
    <mergeCell ref="E41:E73"/>
    <mergeCell ref="E77:E87"/>
    <mergeCell ref="E89:E120"/>
    <mergeCell ref="E122:E127"/>
    <mergeCell ref="E129:E140"/>
    <mergeCell ref="E142:E152"/>
  </mergeCells>
  <pageMargins left="0.75" right="0.569444444444444" top="1" bottom="0.879861111111111" header="0.5" footer="0.5"/>
  <pageSetup paperSize="1" scale="47"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L50"/>
  <sheetViews>
    <sheetView workbookViewId="0">
      <selection activeCell="J3" sqref="J3"/>
    </sheetView>
  </sheetViews>
  <sheetFormatPr defaultColWidth="9" defaultRowHeight="12.4"/>
  <cols>
    <col min="1" max="1" width="2.71171171171171" customWidth="1"/>
    <col min="2" max="2" width="31.2882882882883" customWidth="1"/>
    <col min="3" max="3" width="11.2882882882883" customWidth="1"/>
    <col min="12" max="12" width="3.14414414414414" customWidth="1"/>
  </cols>
  <sheetData>
    <row r="1" ht="17.55" spans="1:12">
      <c r="A1" s="1"/>
      <c r="B1" s="2" t="s">
        <v>561</v>
      </c>
      <c r="C1" s="3"/>
      <c r="D1" s="4"/>
      <c r="E1" s="4"/>
      <c r="F1" s="4"/>
      <c r="G1" s="5"/>
      <c r="H1" s="4"/>
      <c r="I1" s="4"/>
      <c r="J1" s="4"/>
      <c r="K1" s="52"/>
      <c r="L1" s="24"/>
    </row>
    <row r="2" ht="12.6" spans="1:12">
      <c r="A2" s="1"/>
      <c r="B2" s="6" t="str">
        <f>Date</f>
        <v>July 2, 2021</v>
      </c>
      <c r="C2" s="7">
        <f>Time</f>
        <v>0.41875</v>
      </c>
      <c r="D2" s="8" t="s">
        <v>562</v>
      </c>
      <c r="E2" s="8"/>
      <c r="F2" s="9"/>
      <c r="G2" s="10">
        <f>IF(Test_Count&gt;15,Index,"N/A")</f>
        <v>0.960352422907489</v>
      </c>
      <c r="H2" s="11"/>
      <c r="I2" s="53"/>
      <c r="J2" s="54" t="s">
        <v>2</v>
      </c>
      <c r="K2" s="55" t="str">
        <f>Version</f>
        <v>5.2.00</v>
      </c>
      <c r="L2" s="24"/>
    </row>
    <row r="3" spans="1:12">
      <c r="A3" s="1"/>
      <c r="B3" s="12" t="s">
        <v>4</v>
      </c>
      <c r="C3" s="13">
        <f>Port_Count</f>
        <v>1</v>
      </c>
      <c r="D3" s="14"/>
      <c r="E3" s="14"/>
      <c r="F3" s="14"/>
      <c r="G3" s="15"/>
      <c r="H3" s="16"/>
      <c r="I3" s="56"/>
      <c r="J3" s="54" t="str">
        <f>Report_Version</f>
        <v> report version 5.2.00</v>
      </c>
      <c r="K3" s="57"/>
      <c r="L3" s="24"/>
    </row>
    <row r="4" ht="12.6" spans="1:12">
      <c r="A4" s="1"/>
      <c r="B4" s="12" t="s">
        <v>7</v>
      </c>
      <c r="C4" s="13">
        <f>Loop_Count</f>
        <v>1</v>
      </c>
      <c r="D4" s="17"/>
      <c r="E4" s="18" t="s">
        <v>563</v>
      </c>
      <c r="F4" s="19">
        <f>Test_Count</f>
        <v>19</v>
      </c>
      <c r="G4" s="20"/>
      <c r="H4" s="21"/>
      <c r="I4" s="14"/>
      <c r="J4" s="14"/>
      <c r="K4" s="52"/>
      <c r="L4" s="24"/>
    </row>
    <row r="5" spans="1:12">
      <c r="A5" s="1"/>
      <c r="B5" s="12" t="str">
        <f>Loop1!A5</f>
        <v>PSE Tested: Unspecified Type-1 15.4W</v>
      </c>
      <c r="C5" s="13"/>
      <c r="D5" s="1"/>
      <c r="E5" s="22" t="s">
        <v>564</v>
      </c>
      <c r="F5" s="19">
        <f>Parm_Count</f>
        <v>75</v>
      </c>
      <c r="G5" s="23" t="str">
        <f>IF(G2="N/A","Need Minimum 16 Tests!","")</f>
        <v/>
      </c>
      <c r="H5" s="1"/>
      <c r="I5" s="1"/>
      <c r="J5" s="14"/>
      <c r="K5" s="52"/>
      <c r="L5" s="24"/>
    </row>
    <row r="6" spans="1:12">
      <c r="A6" s="1"/>
      <c r="B6" s="1"/>
      <c r="C6" s="1"/>
      <c r="D6" s="1"/>
      <c r="E6" s="1"/>
      <c r="F6" s="1"/>
      <c r="G6" s="1"/>
      <c r="H6" s="1"/>
      <c r="I6" s="1"/>
      <c r="J6" s="14"/>
      <c r="K6" s="52"/>
      <c r="L6" s="24"/>
    </row>
    <row r="7" ht="15" spans="1:12">
      <c r="A7" s="24"/>
      <c r="B7" s="25"/>
      <c r="C7" s="26"/>
      <c r="D7" s="27"/>
      <c r="E7" s="28"/>
      <c r="F7" s="29"/>
      <c r="G7" s="30" t="s">
        <v>14</v>
      </c>
      <c r="H7" s="31" t="s">
        <v>15</v>
      </c>
      <c r="I7" s="58" t="s">
        <v>16</v>
      </c>
      <c r="J7" s="31" t="s">
        <v>15</v>
      </c>
      <c r="K7" s="59" t="s">
        <v>565</v>
      </c>
      <c r="L7" s="24"/>
    </row>
    <row r="8" ht="15.75" spans="1:12">
      <c r="A8" s="24"/>
      <c r="B8" s="32" t="s">
        <v>566</v>
      </c>
      <c r="C8" s="33" t="s">
        <v>20</v>
      </c>
      <c r="D8" s="34" t="s">
        <v>21</v>
      </c>
      <c r="E8" s="35" t="s">
        <v>22</v>
      </c>
      <c r="F8" s="36" t="s">
        <v>23</v>
      </c>
      <c r="G8" s="34" t="s">
        <v>24</v>
      </c>
      <c r="H8" s="37"/>
      <c r="I8" s="35" t="s">
        <v>24</v>
      </c>
      <c r="J8" s="37"/>
      <c r="K8" s="60" t="s">
        <v>567</v>
      </c>
      <c r="L8" s="24"/>
    </row>
    <row r="9" spans="1:12">
      <c r="A9" s="24"/>
      <c r="B9" s="38" t="s">
        <v>42</v>
      </c>
      <c r="C9" s="39" t="s">
        <v>32</v>
      </c>
      <c r="D9" s="39">
        <v>11.46</v>
      </c>
      <c r="E9" s="39">
        <v>11.46</v>
      </c>
      <c r="F9" s="39">
        <v>11.5</v>
      </c>
      <c r="G9" s="39">
        <v>3.8</v>
      </c>
      <c r="H9" s="39" t="s">
        <v>568</v>
      </c>
      <c r="I9" s="39">
        <v>11</v>
      </c>
      <c r="J9" s="39" t="s">
        <v>569</v>
      </c>
      <c r="K9" s="61">
        <v>0.00440528634361234</v>
      </c>
      <c r="L9" s="24"/>
    </row>
    <row r="10" spans="1:12">
      <c r="A10" s="24"/>
      <c r="B10" s="40" t="s">
        <v>73</v>
      </c>
      <c r="C10" s="41" t="s">
        <v>60</v>
      </c>
      <c r="D10" s="41">
        <v>4.9</v>
      </c>
      <c r="E10" s="41">
        <v>4.9</v>
      </c>
      <c r="F10" s="41">
        <v>4.9</v>
      </c>
      <c r="G10" s="41">
        <v>5.6</v>
      </c>
      <c r="H10" s="41" t="s">
        <v>570</v>
      </c>
      <c r="I10" s="41">
        <v>75</v>
      </c>
      <c r="J10" s="41" t="s">
        <v>568</v>
      </c>
      <c r="K10" s="62">
        <v>0.0220264317180617</v>
      </c>
      <c r="L10" s="24"/>
    </row>
    <row r="11" spans="1:12">
      <c r="A11" s="24"/>
      <c r="B11" s="40" t="s">
        <v>98</v>
      </c>
      <c r="C11" s="41" t="s">
        <v>97</v>
      </c>
      <c r="D11" s="41">
        <v>203</v>
      </c>
      <c r="E11" s="41">
        <v>203</v>
      </c>
      <c r="F11" s="41">
        <v>203</v>
      </c>
      <c r="G11" s="41">
        <v>0</v>
      </c>
      <c r="H11" s="41" t="s">
        <v>568</v>
      </c>
      <c r="I11" s="41">
        <v>200</v>
      </c>
      <c r="J11" s="41" t="s">
        <v>570</v>
      </c>
      <c r="K11" s="62">
        <v>0.013215859030837</v>
      </c>
      <c r="L11" s="24"/>
    </row>
    <row r="12" spans="1:12">
      <c r="A12" s="24"/>
      <c r="B12" s="40"/>
      <c r="C12" s="41"/>
      <c r="D12" s="41"/>
      <c r="E12" s="41"/>
      <c r="F12" s="41"/>
      <c r="G12" s="41"/>
      <c r="H12" s="41"/>
      <c r="I12" s="41"/>
      <c r="J12" s="41"/>
      <c r="K12" s="62"/>
      <c r="L12" s="24"/>
    </row>
    <row r="13" spans="1:12">
      <c r="A13" s="24"/>
      <c r="B13" s="40"/>
      <c r="C13" s="41"/>
      <c r="D13" s="41"/>
      <c r="E13" s="41"/>
      <c r="F13" s="41"/>
      <c r="G13" s="41"/>
      <c r="H13" s="41"/>
      <c r="I13" s="41"/>
      <c r="J13" s="41"/>
      <c r="K13" s="62"/>
      <c r="L13" s="24"/>
    </row>
    <row r="14" spans="1:12">
      <c r="A14" s="24"/>
      <c r="B14" s="40"/>
      <c r="C14" s="41"/>
      <c r="D14" s="41"/>
      <c r="E14" s="41"/>
      <c r="F14" s="41"/>
      <c r="G14" s="41"/>
      <c r="H14" s="41"/>
      <c r="I14" s="41"/>
      <c r="J14" s="41"/>
      <c r="K14" s="62"/>
      <c r="L14" s="24"/>
    </row>
    <row r="15" spans="1:12">
      <c r="A15" s="24"/>
      <c r="B15" s="40"/>
      <c r="C15" s="41"/>
      <c r="D15" s="41"/>
      <c r="E15" s="41"/>
      <c r="F15" s="41"/>
      <c r="G15" s="41"/>
      <c r="H15" s="41"/>
      <c r="I15" s="41"/>
      <c r="J15" s="41"/>
      <c r="K15" s="62"/>
      <c r="L15" s="24"/>
    </row>
    <row r="16" spans="1:12">
      <c r="A16" s="24"/>
      <c r="B16" s="40"/>
      <c r="C16" s="41"/>
      <c r="D16" s="41"/>
      <c r="E16" s="41"/>
      <c r="F16" s="41"/>
      <c r="G16" s="41"/>
      <c r="H16" s="41"/>
      <c r="I16" s="41"/>
      <c r="J16" s="41"/>
      <c r="K16" s="62"/>
      <c r="L16" s="24"/>
    </row>
    <row r="17" spans="1:12">
      <c r="A17" s="24"/>
      <c r="B17" s="40"/>
      <c r="C17" s="41"/>
      <c r="D17" s="41"/>
      <c r="E17" s="41"/>
      <c r="F17" s="41"/>
      <c r="G17" s="41"/>
      <c r="H17" s="41"/>
      <c r="I17" s="41"/>
      <c r="J17" s="41"/>
      <c r="K17" s="62"/>
      <c r="L17" s="24"/>
    </row>
    <row r="18" spans="1:12">
      <c r="A18" s="24"/>
      <c r="B18" s="40"/>
      <c r="C18" s="41"/>
      <c r="D18" s="41"/>
      <c r="E18" s="41"/>
      <c r="F18" s="41"/>
      <c r="G18" s="41"/>
      <c r="H18" s="41"/>
      <c r="I18" s="41"/>
      <c r="J18" s="41"/>
      <c r="K18" s="62"/>
      <c r="L18" s="24"/>
    </row>
    <row r="19" spans="1:12">
      <c r="A19" s="24"/>
      <c r="B19" s="40"/>
      <c r="C19" s="41"/>
      <c r="D19" s="41"/>
      <c r="E19" s="41"/>
      <c r="F19" s="41"/>
      <c r="G19" s="41"/>
      <c r="H19" s="41"/>
      <c r="I19" s="41"/>
      <c r="J19" s="41"/>
      <c r="K19" s="62"/>
      <c r="L19" s="24"/>
    </row>
    <row r="20" spans="1:12">
      <c r="A20" s="24"/>
      <c r="B20" s="40"/>
      <c r="C20" s="41"/>
      <c r="D20" s="41"/>
      <c r="E20" s="41"/>
      <c r="F20" s="41"/>
      <c r="G20" s="41"/>
      <c r="H20" s="41"/>
      <c r="I20" s="41"/>
      <c r="J20" s="41"/>
      <c r="K20" s="62"/>
      <c r="L20" s="24"/>
    </row>
    <row r="21" spans="1:12">
      <c r="A21" s="24"/>
      <c r="B21" s="40"/>
      <c r="C21" s="41"/>
      <c r="D21" s="41"/>
      <c r="E21" s="41"/>
      <c r="F21" s="41"/>
      <c r="G21" s="41"/>
      <c r="H21" s="41"/>
      <c r="I21" s="41"/>
      <c r="J21" s="41"/>
      <c r="K21" s="62"/>
      <c r="L21" s="24"/>
    </row>
    <row r="22" spans="1:12">
      <c r="A22" s="24"/>
      <c r="B22" s="40"/>
      <c r="C22" s="41"/>
      <c r="D22" s="41"/>
      <c r="E22" s="41"/>
      <c r="F22" s="41"/>
      <c r="G22" s="41"/>
      <c r="H22" s="41"/>
      <c r="I22" s="41"/>
      <c r="J22" s="41"/>
      <c r="K22" s="62"/>
      <c r="L22" s="24"/>
    </row>
    <row r="23" spans="1:12">
      <c r="A23" s="24"/>
      <c r="B23" s="40"/>
      <c r="C23" s="41"/>
      <c r="D23" s="41"/>
      <c r="E23" s="41"/>
      <c r="F23" s="41"/>
      <c r="G23" s="41"/>
      <c r="H23" s="41"/>
      <c r="I23" s="41"/>
      <c r="J23" s="41"/>
      <c r="K23" s="62"/>
      <c r="L23" s="24"/>
    </row>
    <row r="24" spans="1:12">
      <c r="A24" s="24"/>
      <c r="B24" s="40"/>
      <c r="C24" s="41"/>
      <c r="D24" s="41"/>
      <c r="E24" s="41"/>
      <c r="F24" s="41"/>
      <c r="G24" s="41"/>
      <c r="H24" s="41"/>
      <c r="I24" s="41"/>
      <c r="J24" s="41"/>
      <c r="K24" s="62"/>
      <c r="L24" s="24"/>
    </row>
    <row r="25" spans="1:12">
      <c r="A25" s="24"/>
      <c r="B25" s="40"/>
      <c r="C25" s="41"/>
      <c r="D25" s="41"/>
      <c r="E25" s="41"/>
      <c r="F25" s="41"/>
      <c r="G25" s="41"/>
      <c r="H25" s="41"/>
      <c r="I25" s="41"/>
      <c r="J25" s="41"/>
      <c r="K25" s="62"/>
      <c r="L25" s="24"/>
    </row>
    <row r="26" spans="1:12">
      <c r="A26" s="24"/>
      <c r="B26" s="40"/>
      <c r="C26" s="41"/>
      <c r="D26" s="41"/>
      <c r="E26" s="41"/>
      <c r="F26" s="41"/>
      <c r="G26" s="41"/>
      <c r="H26" s="41"/>
      <c r="I26" s="41"/>
      <c r="J26" s="41"/>
      <c r="K26" s="62"/>
      <c r="L26" s="24"/>
    </row>
    <row r="27" spans="1:12">
      <c r="A27" s="24"/>
      <c r="B27" s="40"/>
      <c r="C27" s="41"/>
      <c r="D27" s="41"/>
      <c r="E27" s="41"/>
      <c r="F27" s="41"/>
      <c r="G27" s="41"/>
      <c r="H27" s="41"/>
      <c r="I27" s="41"/>
      <c r="J27" s="41"/>
      <c r="K27" s="62"/>
      <c r="L27" s="24"/>
    </row>
    <row r="28" spans="1:12">
      <c r="A28" s="24"/>
      <c r="B28" s="40"/>
      <c r="C28" s="41"/>
      <c r="D28" s="41"/>
      <c r="E28" s="41"/>
      <c r="F28" s="41"/>
      <c r="G28" s="41"/>
      <c r="H28" s="41"/>
      <c r="I28" s="41"/>
      <c r="J28" s="41"/>
      <c r="K28" s="62"/>
      <c r="L28" s="24"/>
    </row>
    <row r="29" spans="1:12">
      <c r="A29" s="24"/>
      <c r="B29" s="40"/>
      <c r="C29" s="41"/>
      <c r="D29" s="41"/>
      <c r="E29" s="41"/>
      <c r="F29" s="41"/>
      <c r="G29" s="41"/>
      <c r="H29" s="41"/>
      <c r="I29" s="41"/>
      <c r="J29" s="41"/>
      <c r="K29" s="62"/>
      <c r="L29" s="24"/>
    </row>
    <row r="30" spans="1:12">
      <c r="A30" s="24"/>
      <c r="B30" s="40"/>
      <c r="C30" s="41"/>
      <c r="D30" s="41"/>
      <c r="E30" s="41"/>
      <c r="F30" s="41"/>
      <c r="G30" s="41"/>
      <c r="H30" s="41"/>
      <c r="I30" s="41"/>
      <c r="J30" s="41"/>
      <c r="K30" s="62"/>
      <c r="L30" s="24"/>
    </row>
    <row r="31" spans="1:12">
      <c r="A31" s="24"/>
      <c r="B31" s="40"/>
      <c r="C31" s="41"/>
      <c r="D31" s="41"/>
      <c r="E31" s="41"/>
      <c r="F31" s="41"/>
      <c r="G31" s="41"/>
      <c r="H31" s="41"/>
      <c r="I31" s="41"/>
      <c r="J31" s="41"/>
      <c r="K31" s="62"/>
      <c r="L31" s="24"/>
    </row>
    <row r="32" spans="1:12">
      <c r="A32" s="24"/>
      <c r="B32" s="40"/>
      <c r="C32" s="41"/>
      <c r="D32" s="41"/>
      <c r="E32" s="41"/>
      <c r="F32" s="41"/>
      <c r="G32" s="41"/>
      <c r="H32" s="41"/>
      <c r="I32" s="41"/>
      <c r="J32" s="41"/>
      <c r="K32" s="62"/>
      <c r="L32" s="24"/>
    </row>
    <row r="33" spans="1:12">
      <c r="A33" s="24"/>
      <c r="B33" s="40"/>
      <c r="C33" s="41"/>
      <c r="D33" s="41"/>
      <c r="E33" s="41"/>
      <c r="F33" s="41"/>
      <c r="G33" s="41"/>
      <c r="H33" s="41"/>
      <c r="I33" s="41"/>
      <c r="J33" s="41"/>
      <c r="K33" s="62"/>
      <c r="L33" s="24"/>
    </row>
    <row r="34" spans="1:12">
      <c r="A34" s="24"/>
      <c r="B34" s="40"/>
      <c r="C34" s="41"/>
      <c r="D34" s="41"/>
      <c r="E34" s="41"/>
      <c r="F34" s="41"/>
      <c r="G34" s="41"/>
      <c r="H34" s="41"/>
      <c r="I34" s="41"/>
      <c r="J34" s="41"/>
      <c r="K34" s="62"/>
      <c r="L34" s="24"/>
    </row>
    <row r="35" spans="1:12">
      <c r="A35" s="24"/>
      <c r="B35" s="40"/>
      <c r="C35" s="41"/>
      <c r="D35" s="41"/>
      <c r="E35" s="41"/>
      <c r="F35" s="41"/>
      <c r="G35" s="41"/>
      <c r="H35" s="41"/>
      <c r="I35" s="41"/>
      <c r="J35" s="41"/>
      <c r="K35" s="62"/>
      <c r="L35" s="24"/>
    </row>
    <row r="36" spans="1:12">
      <c r="A36" s="24"/>
      <c r="B36" s="40"/>
      <c r="C36" s="41"/>
      <c r="D36" s="41"/>
      <c r="E36" s="41"/>
      <c r="F36" s="41"/>
      <c r="G36" s="41"/>
      <c r="H36" s="41"/>
      <c r="I36" s="41"/>
      <c r="J36" s="41"/>
      <c r="K36" s="62"/>
      <c r="L36" s="24"/>
    </row>
    <row r="37" spans="1:12">
      <c r="A37" s="24"/>
      <c r="B37" s="40"/>
      <c r="C37" s="41"/>
      <c r="D37" s="41"/>
      <c r="E37" s="41"/>
      <c r="F37" s="41"/>
      <c r="G37" s="41"/>
      <c r="H37" s="41"/>
      <c r="I37" s="41"/>
      <c r="J37" s="41"/>
      <c r="K37" s="62"/>
      <c r="L37" s="24"/>
    </row>
    <row r="38" spans="1:12">
      <c r="A38" s="24"/>
      <c r="B38" s="40"/>
      <c r="C38" s="41"/>
      <c r="D38" s="41"/>
      <c r="E38" s="41"/>
      <c r="F38" s="41"/>
      <c r="G38" s="41"/>
      <c r="H38" s="41"/>
      <c r="I38" s="41"/>
      <c r="J38" s="41"/>
      <c r="K38" s="62"/>
      <c r="L38" s="24"/>
    </row>
    <row r="39" spans="1:12">
      <c r="A39" s="24"/>
      <c r="B39" s="40"/>
      <c r="C39" s="41"/>
      <c r="D39" s="41"/>
      <c r="E39" s="41"/>
      <c r="F39" s="41"/>
      <c r="G39" s="41"/>
      <c r="H39" s="41"/>
      <c r="I39" s="41"/>
      <c r="J39" s="41"/>
      <c r="K39" s="62"/>
      <c r="L39" s="24"/>
    </row>
    <row r="40" spans="1:12">
      <c r="A40" s="24"/>
      <c r="B40" s="42"/>
      <c r="C40" s="43"/>
      <c r="D40" s="43"/>
      <c r="E40" s="43"/>
      <c r="F40" s="43"/>
      <c r="G40" s="43"/>
      <c r="H40" s="43"/>
      <c r="I40" s="43"/>
      <c r="J40" s="43"/>
      <c r="K40" s="63"/>
      <c r="L40" s="24"/>
    </row>
    <row r="41" spans="1:12">
      <c r="A41" s="24"/>
      <c r="B41" s="24"/>
      <c r="C41" s="24"/>
      <c r="D41" s="24"/>
      <c r="E41" s="24"/>
      <c r="F41" s="24"/>
      <c r="G41" s="24"/>
      <c r="H41" s="24"/>
      <c r="I41" s="24"/>
      <c r="J41" s="24"/>
      <c r="K41" s="24"/>
      <c r="L41" s="24"/>
    </row>
    <row r="42" ht="15" spans="1:12">
      <c r="A42" s="24"/>
      <c r="B42" s="44" t="s">
        <v>571</v>
      </c>
      <c r="C42" s="45"/>
      <c r="D42" s="24"/>
      <c r="E42" s="24"/>
      <c r="F42" s="24"/>
      <c r="G42" s="24"/>
      <c r="H42" s="24"/>
      <c r="I42" s="24"/>
      <c r="J42" s="24"/>
      <c r="K42" s="24"/>
      <c r="L42" s="24"/>
    </row>
    <row r="43" ht="30" customHeight="1" spans="1:12">
      <c r="A43" s="24"/>
      <c r="B43" s="46" t="s">
        <v>572</v>
      </c>
      <c r="C43" s="47"/>
      <c r="D43" s="47"/>
      <c r="E43" s="47"/>
      <c r="F43" s="47"/>
      <c r="G43" s="47"/>
      <c r="H43" s="47"/>
      <c r="I43" s="47"/>
      <c r="J43" s="47"/>
      <c r="K43" s="64"/>
      <c r="L43" s="24"/>
    </row>
    <row r="44" ht="15.75" customHeight="1" spans="1:12">
      <c r="A44" s="24"/>
      <c r="B44" s="48" t="s">
        <v>573</v>
      </c>
      <c r="C44" s="49"/>
      <c r="D44" s="49"/>
      <c r="E44" s="49"/>
      <c r="F44" s="49"/>
      <c r="G44" s="49"/>
      <c r="H44" s="49"/>
      <c r="I44" s="49"/>
      <c r="J44" s="49"/>
      <c r="K44" s="65"/>
      <c r="L44" s="24"/>
    </row>
    <row r="45" ht="17.25" customHeight="1" spans="1:12">
      <c r="A45" s="24"/>
      <c r="B45" s="48" t="s">
        <v>574</v>
      </c>
      <c r="C45" s="49"/>
      <c r="D45" s="49"/>
      <c r="E45" s="49"/>
      <c r="F45" s="49"/>
      <c r="G45" s="49"/>
      <c r="H45" s="49"/>
      <c r="I45" s="49"/>
      <c r="J45" s="49"/>
      <c r="K45" s="65"/>
      <c r="L45" s="24"/>
    </row>
    <row r="46" ht="55.5" customHeight="1" spans="1:12">
      <c r="A46" s="24"/>
      <c r="B46" s="48" t="s">
        <v>575</v>
      </c>
      <c r="C46" s="49"/>
      <c r="D46" s="49"/>
      <c r="E46" s="49"/>
      <c r="F46" s="49"/>
      <c r="G46" s="49"/>
      <c r="H46" s="49"/>
      <c r="I46" s="49"/>
      <c r="J46" s="49"/>
      <c r="K46" s="65"/>
      <c r="L46" s="24"/>
    </row>
    <row r="47" ht="38.25" customHeight="1" spans="1:12">
      <c r="A47" s="24"/>
      <c r="B47" s="48" t="s">
        <v>576</v>
      </c>
      <c r="C47" s="49"/>
      <c r="D47" s="49"/>
      <c r="E47" s="49"/>
      <c r="F47" s="49"/>
      <c r="G47" s="49"/>
      <c r="H47" s="49"/>
      <c r="I47" s="49"/>
      <c r="J47" s="49"/>
      <c r="K47" s="65"/>
      <c r="L47" s="24"/>
    </row>
    <row r="48" ht="9.75" customHeight="1" spans="1:12">
      <c r="A48" s="24"/>
      <c r="B48" s="50"/>
      <c r="C48" s="51"/>
      <c r="D48" s="51"/>
      <c r="E48" s="51"/>
      <c r="F48" s="51"/>
      <c r="G48" s="51"/>
      <c r="H48" s="51"/>
      <c r="I48" s="51"/>
      <c r="J48" s="51"/>
      <c r="K48" s="66"/>
      <c r="L48" s="24"/>
    </row>
    <row r="49" spans="1:12">
      <c r="A49" s="24"/>
      <c r="B49" s="24"/>
      <c r="C49" s="24"/>
      <c r="D49" s="24"/>
      <c r="E49" s="24"/>
      <c r="F49" s="24"/>
      <c r="G49" s="24"/>
      <c r="H49" s="24"/>
      <c r="I49" s="24"/>
      <c r="J49" s="24"/>
      <c r="K49" s="24"/>
      <c r="L49" s="24"/>
    </row>
    <row r="50" spans="1:12">
      <c r="A50" s="24"/>
      <c r="B50" s="24"/>
      <c r="C50" s="24"/>
      <c r="D50" s="24"/>
      <c r="E50" s="24"/>
      <c r="F50" s="24"/>
      <c r="G50" s="24"/>
      <c r="H50" s="24"/>
      <c r="I50" s="24"/>
      <c r="J50" s="24"/>
      <c r="K50" s="24"/>
      <c r="L50" s="24"/>
    </row>
  </sheetData>
  <mergeCells count="9">
    <mergeCell ref="B1:C1"/>
    <mergeCell ref="D2:F2"/>
    <mergeCell ref="B5:C5"/>
    <mergeCell ref="B43:K43"/>
    <mergeCell ref="B44:K44"/>
    <mergeCell ref="B45:K45"/>
    <mergeCell ref="B46:K46"/>
    <mergeCell ref="B47:K47"/>
    <mergeCell ref="G2:H4"/>
  </mergeCells>
  <conditionalFormatting sqref="J9:J40 H9:H40">
    <cfRule type="cellIs" dxfId="13" priority="1" stopIfTrue="1" operator="equal">
      <formula>"Fail"</formula>
    </cfRule>
    <cfRule type="cellIs" dxfId="14" priority="2" stopIfTrue="1" operator="equal">
      <formula>"Info"</formula>
    </cfRule>
  </conditionalFormatting>
  <pageMargins left="0.75" right="0.75" top="1" bottom="1" header="0.5" footer="0.5"/>
  <pageSetup paperSize="1" scale="74" orientation="portrait"/>
  <headerFooter alignWithMargins="0"/>
  <drawing r:id="rId1"/>
</worksheet>
</file>

<file path=docProps/app.xml><?xml version="1.0" encoding="utf-8"?>
<Properties xmlns="http://schemas.openxmlformats.org/officeDocument/2006/extended-properties" xmlns:vt="http://schemas.openxmlformats.org/officeDocument/2006/docPropsVTypes">
  <Company>DOCSIS Test System</Company>
  <Application>Microsoft Excel</Application>
  <HeadingPairs>
    <vt:vector size="2" baseType="variant">
      <vt:variant>
        <vt:lpstr>工作表</vt:lpstr>
      </vt:variant>
      <vt:variant>
        <vt:i4>4</vt:i4>
      </vt:variant>
    </vt:vector>
  </HeadingPairs>
  <TitlesOfParts>
    <vt:vector size="4" baseType="lpstr">
      <vt:lpstr>Loop1</vt:lpstr>
      <vt:lpstr>Limits</vt:lpstr>
      <vt:lpstr>Notes 4.x.x</vt:lpstr>
      <vt:lpstr>Interop</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PGJ1</dc:creator>
  <cp:lastModifiedBy>eric1_fang</cp:lastModifiedBy>
  <dcterms:created xsi:type="dcterms:W3CDTF">2004-10-19T17:15:00Z</dcterms:created>
  <cp:lastPrinted>2018-09-27T17:25:00Z</cp:lastPrinted>
  <dcterms:modified xsi:type="dcterms:W3CDTF">2021-07-09T16:22:13Z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1028-11.8.2.8372</vt:lpwstr>
  </property>
</Properties>
</file>